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anny Birdsall\Documents\NewBird\Orlando\"/>
    </mc:Choice>
  </mc:AlternateContent>
  <bookViews>
    <workbookView xWindow="0" yWindow="0" windowWidth="28800" windowHeight="14235" tabRatio="735"/>
  </bookViews>
  <sheets>
    <sheet name="Dashboard" sheetId="18" r:id="rId1"/>
    <sheet name="Score Cards" sheetId="7" r:id="rId2"/>
    <sheet name="Game Details" sheetId="12" r:id="rId3"/>
    <sheet name="Pairings" sheetId="11" r:id="rId4"/>
    <sheet name="Rules &amp; Prize Pool" sheetId="13" r:id="rId5"/>
    <sheet name="Player Info" sheetId="2" state="hidden" r:id="rId6"/>
    <sheet name="Pvt_CupPts" sheetId="16" state="hidden" r:id="rId7"/>
    <sheet name="Pvt_DTeam" sheetId="17" state="hidden" r:id="rId8"/>
    <sheet name="Pvt_ETeam" sheetId="19" state="hidden" r:id="rId9"/>
    <sheet name="Pvt_MTeam" sheetId="20" state="hidden" r:id="rId10"/>
    <sheet name="ScoringData" sheetId="15" state="hidden" r:id="rId11"/>
  </sheets>
  <calcPr calcId="152511"/>
  <pivotCaches>
    <pivotCache cacheId="7" r:id="rId12"/>
  </pivotCaches>
</workbook>
</file>

<file path=xl/calcChain.xml><?xml version="1.0" encoding="utf-8"?>
<calcChain xmlns="http://schemas.openxmlformats.org/spreadsheetml/2006/main">
  <c r="AD194" i="7" l="1"/>
  <c r="AD195" i="7"/>
  <c r="AD196" i="7"/>
  <c r="AD197" i="7"/>
  <c r="AD198" i="7"/>
  <c r="AD199" i="7"/>
  <c r="AD200" i="7"/>
  <c r="AD201" i="7"/>
  <c r="AD202" i="7"/>
  <c r="AD203" i="7"/>
  <c r="AD204" i="7"/>
  <c r="AD205" i="7"/>
  <c r="AC143" i="7" l="1"/>
  <c r="C2" i="15" l="1"/>
  <c r="C8" i="15"/>
  <c r="C14" i="15"/>
  <c r="C20" i="15"/>
  <c r="C26" i="15"/>
  <c r="C32" i="15"/>
  <c r="C62" i="15"/>
  <c r="C68" i="15"/>
  <c r="C74" i="15"/>
  <c r="C80" i="15"/>
  <c r="C86" i="15"/>
  <c r="C92" i="15"/>
  <c r="C3" i="15"/>
  <c r="C9" i="15"/>
  <c r="C15" i="15"/>
  <c r="C21" i="15"/>
  <c r="C27" i="15"/>
  <c r="C33" i="15"/>
  <c r="C63" i="15"/>
  <c r="C69" i="15"/>
  <c r="C75" i="15"/>
  <c r="C81" i="15"/>
  <c r="C87" i="15"/>
  <c r="C93" i="15"/>
  <c r="C4" i="15"/>
  <c r="C10" i="15"/>
  <c r="C16" i="15"/>
  <c r="C22" i="15"/>
  <c r="C28" i="15"/>
  <c r="C34" i="15"/>
  <c r="C64" i="15"/>
  <c r="C70" i="15"/>
  <c r="C76" i="15"/>
  <c r="C82" i="15"/>
  <c r="C88" i="15"/>
  <c r="C94" i="15"/>
  <c r="C38" i="15"/>
  <c r="C39" i="15"/>
  <c r="C40" i="15"/>
  <c r="C41" i="15"/>
  <c r="C42" i="15"/>
  <c r="C43" i="15"/>
  <c r="C44" i="15"/>
  <c r="C45" i="15"/>
  <c r="C46" i="15"/>
  <c r="C47" i="15"/>
  <c r="C48" i="15"/>
  <c r="C49" i="15"/>
  <c r="C50" i="15"/>
  <c r="C51" i="15"/>
  <c r="C52" i="15"/>
  <c r="C53" i="15"/>
  <c r="C54" i="15"/>
  <c r="C55" i="15"/>
  <c r="C56" i="15"/>
  <c r="C57" i="15"/>
  <c r="C58" i="15"/>
  <c r="C59" i="15"/>
  <c r="C60" i="15"/>
  <c r="C61" i="15"/>
  <c r="C5" i="15"/>
  <c r="C11" i="15"/>
  <c r="C17" i="15"/>
  <c r="C23" i="15"/>
  <c r="C29" i="15"/>
  <c r="C35" i="15"/>
  <c r="C65" i="15"/>
  <c r="C71" i="15"/>
  <c r="C77" i="15"/>
  <c r="C83" i="15"/>
  <c r="C89" i="15"/>
  <c r="C95" i="15"/>
  <c r="C6" i="15"/>
  <c r="C12" i="15"/>
  <c r="C18" i="15"/>
  <c r="C24" i="15"/>
  <c r="C30" i="15"/>
  <c r="C36" i="15"/>
  <c r="C66" i="15"/>
  <c r="C72" i="15"/>
  <c r="C78" i="15"/>
  <c r="C84" i="15"/>
  <c r="C90" i="15"/>
  <c r="C96" i="15"/>
  <c r="C7" i="15"/>
  <c r="C13" i="15"/>
  <c r="C19" i="15"/>
  <c r="C25" i="15"/>
  <c r="C31" i="15"/>
  <c r="C37" i="15"/>
  <c r="C67" i="15"/>
  <c r="C73" i="15"/>
  <c r="C79" i="15"/>
  <c r="C85" i="15"/>
  <c r="C91" i="15"/>
  <c r="C97" i="15"/>
  <c r="I12" i="15" l="1"/>
  <c r="I18" i="15"/>
  <c r="I24" i="15"/>
  <c r="I30" i="15"/>
  <c r="I36" i="15"/>
  <c r="I66" i="15"/>
  <c r="I72" i="15"/>
  <c r="I78" i="15"/>
  <c r="I84" i="15"/>
  <c r="I90" i="15"/>
  <c r="I96" i="15"/>
  <c r="I6" i="15"/>
  <c r="I11" i="15"/>
  <c r="I17" i="15"/>
  <c r="I23" i="15"/>
  <c r="I29" i="15"/>
  <c r="I35" i="15"/>
  <c r="I65" i="15"/>
  <c r="I71" i="15"/>
  <c r="I77" i="15"/>
  <c r="I83" i="15"/>
  <c r="I89" i="15"/>
  <c r="I95" i="15"/>
  <c r="I5" i="15"/>
  <c r="I51" i="15"/>
  <c r="I52" i="15"/>
  <c r="I53" i="15"/>
  <c r="I54" i="15"/>
  <c r="I55" i="15"/>
  <c r="I56" i="15"/>
  <c r="I57" i="15"/>
  <c r="I58" i="15"/>
  <c r="I59" i="15"/>
  <c r="I60" i="15"/>
  <c r="I61" i="15"/>
  <c r="I50" i="15"/>
  <c r="I39" i="15"/>
  <c r="I40" i="15"/>
  <c r="I41" i="15"/>
  <c r="I42" i="15"/>
  <c r="I43" i="15"/>
  <c r="I44" i="15"/>
  <c r="I45" i="15"/>
  <c r="I46" i="15"/>
  <c r="I47" i="15"/>
  <c r="I48" i="15"/>
  <c r="I49" i="15"/>
  <c r="I38" i="15"/>
  <c r="I10" i="15"/>
  <c r="I16" i="15"/>
  <c r="I22" i="15"/>
  <c r="I28" i="15"/>
  <c r="I34" i="15"/>
  <c r="I64" i="15"/>
  <c r="I70" i="15"/>
  <c r="I76" i="15"/>
  <c r="I82" i="15"/>
  <c r="I88" i="15"/>
  <c r="I94" i="15"/>
  <c r="I4" i="15"/>
  <c r="I9" i="15"/>
  <c r="I15" i="15"/>
  <c r="I21" i="15"/>
  <c r="I27" i="15"/>
  <c r="I33" i="15"/>
  <c r="I63" i="15"/>
  <c r="I69" i="15"/>
  <c r="I75" i="15"/>
  <c r="I81" i="15"/>
  <c r="I87" i="15"/>
  <c r="I93" i="15"/>
  <c r="I3" i="15"/>
  <c r="B2" i="15" l="1"/>
  <c r="B3" i="15"/>
  <c r="B4" i="15"/>
  <c r="B38" i="15"/>
  <c r="B50" i="15"/>
  <c r="B5" i="15"/>
  <c r="B6" i="15"/>
  <c r="B7" i="15"/>
  <c r="B8" i="15"/>
  <c r="B9" i="15"/>
  <c r="B10" i="15"/>
  <c r="B39" i="15"/>
  <c r="B51" i="15"/>
  <c r="B11" i="15"/>
  <c r="B12" i="15"/>
  <c r="B13" i="15"/>
  <c r="B14" i="15"/>
  <c r="B15" i="15"/>
  <c r="B16" i="15"/>
  <c r="B40" i="15"/>
  <c r="B52" i="15"/>
  <c r="B17" i="15"/>
  <c r="B18" i="15"/>
  <c r="B19" i="15"/>
  <c r="B20" i="15"/>
  <c r="B21" i="15"/>
  <c r="B22" i="15"/>
  <c r="B41" i="15"/>
  <c r="B53" i="15"/>
  <c r="B23" i="15"/>
  <c r="B24" i="15"/>
  <c r="B25" i="15"/>
  <c r="B26" i="15"/>
  <c r="B27" i="15"/>
  <c r="B28" i="15"/>
  <c r="B42" i="15"/>
  <c r="B54" i="15"/>
  <c r="B29" i="15"/>
  <c r="B30" i="15"/>
  <c r="B31" i="15"/>
  <c r="B32" i="15"/>
  <c r="B33" i="15"/>
  <c r="B34" i="15"/>
  <c r="B43" i="15"/>
  <c r="B55" i="15"/>
  <c r="B35" i="15"/>
  <c r="B36" i="15"/>
  <c r="B37" i="15"/>
  <c r="B62" i="15"/>
  <c r="B63" i="15"/>
  <c r="B64" i="15"/>
  <c r="B44" i="15"/>
  <c r="B56" i="15"/>
  <c r="B65" i="15"/>
  <c r="B66" i="15"/>
  <c r="B67" i="15"/>
  <c r="B68" i="15"/>
  <c r="B69" i="15"/>
  <c r="B70" i="15"/>
  <c r="B45" i="15"/>
  <c r="B57" i="15"/>
  <c r="B71" i="15"/>
  <c r="B72" i="15"/>
  <c r="B73" i="15"/>
  <c r="B74" i="15"/>
  <c r="B75" i="15"/>
  <c r="B76" i="15"/>
  <c r="B46" i="15"/>
  <c r="B58" i="15"/>
  <c r="B77" i="15"/>
  <c r="B78" i="15"/>
  <c r="B79" i="15"/>
  <c r="B80" i="15"/>
  <c r="B81" i="15"/>
  <c r="B82" i="15"/>
  <c r="B47" i="15"/>
  <c r="B59" i="15"/>
  <c r="B83" i="15"/>
  <c r="B84" i="15"/>
  <c r="B85" i="15"/>
  <c r="B86" i="15"/>
  <c r="B87" i="15"/>
  <c r="B88" i="15"/>
  <c r="B48" i="15"/>
  <c r="B60" i="15"/>
  <c r="B89" i="15"/>
  <c r="B90" i="15"/>
  <c r="B91" i="15"/>
  <c r="B92" i="15"/>
  <c r="B93" i="15"/>
  <c r="B94" i="15"/>
  <c r="B49" i="15"/>
  <c r="B61" i="15"/>
  <c r="B95" i="15"/>
  <c r="B96" i="15"/>
  <c r="B97" i="15"/>
  <c r="S124" i="7" l="1"/>
  <c r="N124" i="7"/>
  <c r="K124" i="7"/>
  <c r="L124" i="7" s="1"/>
  <c r="M124" i="7" s="1"/>
  <c r="S123" i="7"/>
  <c r="N123" i="7"/>
  <c r="K123" i="7"/>
  <c r="L123" i="7" s="1"/>
  <c r="M123" i="7" s="1"/>
  <c r="S122" i="7"/>
  <c r="N122" i="7"/>
  <c r="K122" i="7"/>
  <c r="L122" i="7" s="1"/>
  <c r="M122" i="7" s="1"/>
  <c r="S121" i="7"/>
  <c r="N121" i="7"/>
  <c r="K121" i="7"/>
  <c r="L121" i="7" s="1"/>
  <c r="M121" i="7" s="1"/>
  <c r="S131" i="7"/>
  <c r="N131" i="7"/>
  <c r="K131" i="7"/>
  <c r="L131" i="7" s="1"/>
  <c r="M131" i="7" s="1"/>
  <c r="S130" i="7"/>
  <c r="N130" i="7"/>
  <c r="K130" i="7"/>
  <c r="L130" i="7" s="1"/>
  <c r="M130" i="7" s="1"/>
  <c r="S129" i="7"/>
  <c r="N129" i="7"/>
  <c r="K129" i="7"/>
  <c r="L129" i="7" s="1"/>
  <c r="M129" i="7" s="1"/>
  <c r="S128" i="7"/>
  <c r="N128" i="7"/>
  <c r="K128" i="7"/>
  <c r="L128" i="7" s="1"/>
  <c r="M128" i="7" s="1"/>
  <c r="S120" i="7"/>
  <c r="N120" i="7"/>
  <c r="K120" i="7"/>
  <c r="L120" i="7" s="1"/>
  <c r="M120" i="7" s="1"/>
  <c r="S127" i="7"/>
  <c r="N127" i="7"/>
  <c r="K127" i="7"/>
  <c r="L127" i="7" s="1"/>
  <c r="M127" i="7" s="1"/>
  <c r="S126" i="7"/>
  <c r="N126" i="7"/>
  <c r="K126" i="7"/>
  <c r="L126" i="7" s="1"/>
  <c r="M126" i="7" s="1"/>
  <c r="S125" i="7"/>
  <c r="N125" i="7"/>
  <c r="K125" i="7"/>
  <c r="L125" i="7" s="1"/>
  <c r="M125" i="7" s="1"/>
  <c r="K116" i="7"/>
  <c r="S111" i="7"/>
  <c r="N111" i="7"/>
  <c r="K111" i="7"/>
  <c r="S110" i="7"/>
  <c r="N110" i="7"/>
  <c r="K110" i="7"/>
  <c r="S113" i="7"/>
  <c r="N113" i="7"/>
  <c r="K113" i="7"/>
  <c r="S112" i="7"/>
  <c r="N112" i="7"/>
  <c r="K112" i="7"/>
  <c r="S109" i="7"/>
  <c r="N109" i="7"/>
  <c r="K109" i="7"/>
  <c r="S108" i="7"/>
  <c r="N108" i="7"/>
  <c r="K108" i="7"/>
  <c r="S107" i="7"/>
  <c r="N107" i="7"/>
  <c r="K107" i="7"/>
  <c r="S106" i="7"/>
  <c r="N106" i="7"/>
  <c r="K106" i="7"/>
  <c r="S105" i="7"/>
  <c r="N105" i="7"/>
  <c r="K105" i="7"/>
  <c r="S104" i="7"/>
  <c r="N104" i="7"/>
  <c r="K104" i="7"/>
  <c r="S103" i="7"/>
  <c r="N103" i="7"/>
  <c r="K103" i="7"/>
  <c r="S102" i="7"/>
  <c r="N102" i="7"/>
  <c r="K102" i="7"/>
  <c r="K98" i="7"/>
  <c r="S86" i="7"/>
  <c r="N86" i="7"/>
  <c r="K86" i="7"/>
  <c r="S85" i="7"/>
  <c r="N85" i="7"/>
  <c r="K85" i="7"/>
  <c r="S84" i="7"/>
  <c r="N84" i="7"/>
  <c r="K84" i="7"/>
  <c r="S83" i="7"/>
  <c r="N83" i="7"/>
  <c r="K83" i="7"/>
  <c r="S90" i="7"/>
  <c r="N90" i="7"/>
  <c r="K90" i="7"/>
  <c r="S89" i="7"/>
  <c r="N89" i="7"/>
  <c r="K89" i="7"/>
  <c r="S88" i="7"/>
  <c r="N88" i="7"/>
  <c r="K88" i="7"/>
  <c r="S87" i="7"/>
  <c r="N87" i="7"/>
  <c r="K87" i="7"/>
  <c r="S94" i="7"/>
  <c r="N94" i="7"/>
  <c r="K94" i="7"/>
  <c r="S93" i="7"/>
  <c r="N93" i="7"/>
  <c r="K93" i="7"/>
  <c r="S92" i="7"/>
  <c r="N92" i="7"/>
  <c r="K92" i="7"/>
  <c r="S91" i="7"/>
  <c r="N91" i="7"/>
  <c r="K91" i="7"/>
  <c r="K79" i="7"/>
  <c r="S75" i="7"/>
  <c r="N75" i="7"/>
  <c r="K75" i="7"/>
  <c r="S74" i="7"/>
  <c r="N74" i="7"/>
  <c r="K74" i="7"/>
  <c r="S73" i="7"/>
  <c r="N73" i="7"/>
  <c r="K73" i="7"/>
  <c r="S72" i="7"/>
  <c r="N72" i="7"/>
  <c r="K72" i="7"/>
  <c r="S71" i="7"/>
  <c r="N71" i="7"/>
  <c r="K71" i="7"/>
  <c r="S70" i="7"/>
  <c r="N70" i="7"/>
  <c r="K70" i="7"/>
  <c r="S69" i="7"/>
  <c r="N69" i="7"/>
  <c r="K69" i="7"/>
  <c r="S68" i="7"/>
  <c r="N68" i="7"/>
  <c r="K68" i="7"/>
  <c r="S67" i="7"/>
  <c r="N67" i="7"/>
  <c r="K67" i="7"/>
  <c r="S66" i="7"/>
  <c r="N66" i="7"/>
  <c r="K66" i="7"/>
  <c r="S65" i="7"/>
  <c r="N65" i="7"/>
  <c r="K65" i="7"/>
  <c r="S64" i="7"/>
  <c r="N64" i="7"/>
  <c r="K64" i="7"/>
  <c r="K60" i="7"/>
  <c r="AC186" i="7"/>
  <c r="X186" i="7"/>
  <c r="U186" i="7"/>
  <c r="T186" i="7"/>
  <c r="AC180" i="7"/>
  <c r="X180" i="7"/>
  <c r="U180" i="7"/>
  <c r="T180" i="7"/>
  <c r="AC183" i="7"/>
  <c r="X183" i="7"/>
  <c r="U183" i="7"/>
  <c r="T183" i="7"/>
  <c r="AC178" i="7"/>
  <c r="X178" i="7"/>
  <c r="U178" i="7"/>
  <c r="T178" i="7"/>
  <c r="AC177" i="7"/>
  <c r="X177" i="7"/>
  <c r="U177" i="7"/>
  <c r="T177" i="7"/>
  <c r="AC187" i="7"/>
  <c r="X187" i="7"/>
  <c r="U187" i="7"/>
  <c r="T187" i="7"/>
  <c r="AC181" i="7"/>
  <c r="X181" i="7"/>
  <c r="U181" i="7"/>
  <c r="T181" i="7"/>
  <c r="AC184" i="7"/>
  <c r="X184" i="7"/>
  <c r="U184" i="7"/>
  <c r="T184" i="7"/>
  <c r="AC185" i="7"/>
  <c r="X185" i="7"/>
  <c r="U185" i="7"/>
  <c r="T185" i="7"/>
  <c r="AC182" i="7"/>
  <c r="X182" i="7"/>
  <c r="U182" i="7"/>
  <c r="T182" i="7"/>
  <c r="AC179" i="7"/>
  <c r="X179" i="7"/>
  <c r="U179" i="7"/>
  <c r="T179" i="7"/>
  <c r="AC188" i="7"/>
  <c r="X188" i="7"/>
  <c r="U188" i="7"/>
  <c r="T188" i="7"/>
  <c r="U173" i="7"/>
  <c r="T173" i="7"/>
  <c r="AC162" i="7"/>
  <c r="X162" i="7"/>
  <c r="U162" i="7"/>
  <c r="T162" i="7"/>
  <c r="AC161" i="7"/>
  <c r="X161" i="7"/>
  <c r="U161" i="7"/>
  <c r="T161" i="7"/>
  <c r="AC158" i="7"/>
  <c r="X158" i="7"/>
  <c r="U158" i="7"/>
  <c r="T158" i="7"/>
  <c r="AC163" i="7"/>
  <c r="X163" i="7"/>
  <c r="U163" i="7"/>
  <c r="T163" i="7"/>
  <c r="AC168" i="7"/>
  <c r="X168" i="7"/>
  <c r="U168" i="7"/>
  <c r="T168" i="7"/>
  <c r="AC159" i="7"/>
  <c r="X159" i="7"/>
  <c r="U159" i="7"/>
  <c r="T159" i="7"/>
  <c r="AC166" i="7"/>
  <c r="X166" i="7"/>
  <c r="U166" i="7"/>
  <c r="T166" i="7"/>
  <c r="AC164" i="7"/>
  <c r="X164" i="7"/>
  <c r="U164" i="7"/>
  <c r="T164" i="7"/>
  <c r="AC167" i="7"/>
  <c r="X167" i="7"/>
  <c r="U167" i="7"/>
  <c r="T167" i="7"/>
  <c r="AC165" i="7"/>
  <c r="X165" i="7"/>
  <c r="U165" i="7"/>
  <c r="T165" i="7"/>
  <c r="AC160" i="7"/>
  <c r="X160" i="7"/>
  <c r="U160" i="7"/>
  <c r="T160" i="7"/>
  <c r="AC169" i="7"/>
  <c r="X169" i="7"/>
  <c r="U169" i="7"/>
  <c r="T169" i="7"/>
  <c r="U154" i="7"/>
  <c r="T154" i="7"/>
  <c r="AC150" i="7"/>
  <c r="W150" i="7"/>
  <c r="U150" i="7"/>
  <c r="T150" i="7"/>
  <c r="AC145" i="7"/>
  <c r="W145" i="7"/>
  <c r="U145" i="7"/>
  <c r="T145" i="7"/>
  <c r="AC141" i="7"/>
  <c r="W141" i="7"/>
  <c r="U141" i="7"/>
  <c r="T141" i="7"/>
  <c r="AC139" i="7"/>
  <c r="W139" i="7"/>
  <c r="U139" i="7"/>
  <c r="T139" i="7"/>
  <c r="AC146" i="7"/>
  <c r="W146" i="7"/>
  <c r="U146" i="7"/>
  <c r="T146" i="7"/>
  <c r="AC140" i="7"/>
  <c r="W140" i="7"/>
  <c r="U140" i="7"/>
  <c r="T140" i="7"/>
  <c r="AC148" i="7"/>
  <c r="W148" i="7"/>
  <c r="U148" i="7"/>
  <c r="T148" i="7"/>
  <c r="AC144" i="7"/>
  <c r="W144" i="7"/>
  <c r="U144" i="7"/>
  <c r="T144" i="7"/>
  <c r="AC147" i="7"/>
  <c r="W147" i="7"/>
  <c r="U147" i="7"/>
  <c r="T147" i="7"/>
  <c r="AC142" i="7"/>
  <c r="W142" i="7"/>
  <c r="U142" i="7"/>
  <c r="T142" i="7"/>
  <c r="AC149" i="7"/>
  <c r="W149" i="7"/>
  <c r="U149" i="7"/>
  <c r="T149" i="7"/>
  <c r="W143" i="7"/>
  <c r="U143" i="7"/>
  <c r="T143" i="7"/>
  <c r="U135" i="7"/>
  <c r="T135" i="7"/>
  <c r="T3" i="7"/>
  <c r="U3" i="7"/>
  <c r="T11" i="7"/>
  <c r="U11" i="7"/>
  <c r="X11" i="7"/>
  <c r="T12" i="7"/>
  <c r="U12" i="7"/>
  <c r="X12" i="7"/>
  <c r="T13" i="7"/>
  <c r="U13" i="7"/>
  <c r="X13" i="7"/>
  <c r="T14" i="7"/>
  <c r="U14" i="7"/>
  <c r="X14" i="7"/>
  <c r="T15" i="7"/>
  <c r="U15" i="7"/>
  <c r="X15" i="7"/>
  <c r="T16" i="7"/>
  <c r="U16" i="7"/>
  <c r="X16" i="7"/>
  <c r="T18" i="7"/>
  <c r="U18" i="7"/>
  <c r="X18" i="7"/>
  <c r="T17" i="7"/>
  <c r="U17" i="7"/>
  <c r="X17" i="7"/>
  <c r="T7" i="7"/>
  <c r="U7" i="7"/>
  <c r="X7" i="7"/>
  <c r="T8" i="7"/>
  <c r="U8" i="7"/>
  <c r="X8" i="7"/>
  <c r="T9" i="7"/>
  <c r="U9" i="7"/>
  <c r="X9" i="7"/>
  <c r="T10" i="7"/>
  <c r="U10" i="7"/>
  <c r="X10" i="7"/>
  <c r="AC55" i="7"/>
  <c r="AC49" i="7"/>
  <c r="AC51" i="7"/>
  <c r="AC56" i="7"/>
  <c r="AC50" i="7"/>
  <c r="AC45" i="7"/>
  <c r="AC53" i="7"/>
  <c r="AC52" i="7"/>
  <c r="AC46" i="7"/>
  <c r="AC54" i="7"/>
  <c r="AC47" i="7"/>
  <c r="AC48" i="7"/>
  <c r="X56" i="7"/>
  <c r="U56" i="7"/>
  <c r="T56" i="7"/>
  <c r="X55" i="7"/>
  <c r="U55" i="7"/>
  <c r="T55" i="7"/>
  <c r="X53" i="7"/>
  <c r="U53" i="7"/>
  <c r="T53" i="7"/>
  <c r="X54" i="7"/>
  <c r="U54" i="7"/>
  <c r="T54" i="7"/>
  <c r="X51" i="7"/>
  <c r="U51" i="7"/>
  <c r="T51" i="7"/>
  <c r="X52" i="7"/>
  <c r="U52" i="7"/>
  <c r="T52" i="7"/>
  <c r="X50" i="7"/>
  <c r="U50" i="7"/>
  <c r="T50" i="7"/>
  <c r="X49" i="7"/>
  <c r="U49" i="7"/>
  <c r="T49" i="7"/>
  <c r="X48" i="7"/>
  <c r="U48" i="7"/>
  <c r="T48" i="7"/>
  <c r="X47" i="7"/>
  <c r="U47" i="7"/>
  <c r="T47" i="7"/>
  <c r="X46" i="7"/>
  <c r="U46" i="7"/>
  <c r="T46" i="7"/>
  <c r="X45" i="7"/>
  <c r="U45" i="7"/>
  <c r="T45" i="7"/>
  <c r="U41" i="7"/>
  <c r="T41" i="7"/>
  <c r="L89" i="7" l="1"/>
  <c r="M89" i="7" s="1"/>
  <c r="L92" i="7"/>
  <c r="M92" i="7" s="1"/>
  <c r="L88" i="7"/>
  <c r="M88" i="7" s="1"/>
  <c r="L84" i="7"/>
  <c r="M84" i="7" s="1"/>
  <c r="L85" i="7"/>
  <c r="M85" i="7" s="1"/>
  <c r="L91" i="7"/>
  <c r="M91" i="7" s="1"/>
  <c r="L87" i="7"/>
  <c r="M87" i="7" s="1"/>
  <c r="L83" i="7"/>
  <c r="M83" i="7" s="1"/>
  <c r="L93" i="7"/>
  <c r="M93" i="7" s="1"/>
  <c r="L94" i="7"/>
  <c r="M94" i="7" s="1"/>
  <c r="L90" i="7"/>
  <c r="M90" i="7" s="1"/>
  <c r="L86" i="7"/>
  <c r="M86" i="7" s="1"/>
  <c r="L73" i="7"/>
  <c r="M73" i="7" s="1"/>
  <c r="E49" i="15"/>
  <c r="L68" i="7"/>
  <c r="M68" i="7" s="1"/>
  <c r="E41" i="15"/>
  <c r="L72" i="7"/>
  <c r="M72" i="7" s="1"/>
  <c r="E45" i="15"/>
  <c r="L69" i="7"/>
  <c r="M69" i="7" s="1"/>
  <c r="E43" i="15"/>
  <c r="E38" i="15"/>
  <c r="L67" i="7"/>
  <c r="M67" i="7" s="1"/>
  <c r="E47" i="15"/>
  <c r="L71" i="7"/>
  <c r="M71" i="7" s="1"/>
  <c r="L75" i="7"/>
  <c r="M75" i="7" s="1"/>
  <c r="E40" i="15"/>
  <c r="L65" i="7"/>
  <c r="M65" i="7" s="1"/>
  <c r="E44" i="15"/>
  <c r="E42" i="15"/>
  <c r="L66" i="7"/>
  <c r="M66" i="7" s="1"/>
  <c r="E46" i="15"/>
  <c r="L70" i="7"/>
  <c r="M70" i="7" s="1"/>
  <c r="L74" i="7"/>
  <c r="M74" i="7" s="1"/>
  <c r="E48" i="15"/>
  <c r="L64" i="7"/>
  <c r="M64" i="7" s="1"/>
  <c r="E39" i="15"/>
  <c r="E58" i="15"/>
  <c r="G58" i="15" s="1"/>
  <c r="H58" i="15" s="1"/>
  <c r="L108" i="7"/>
  <c r="E51" i="15"/>
  <c r="F51" i="15" s="1"/>
  <c r="L103" i="7"/>
  <c r="E50" i="15"/>
  <c r="G50" i="15" s="1"/>
  <c r="H50" i="15" s="1"/>
  <c r="L107" i="7"/>
  <c r="E55" i="15"/>
  <c r="G55" i="15" s="1"/>
  <c r="H55" i="15" s="1"/>
  <c r="L113" i="7"/>
  <c r="E61" i="15"/>
  <c r="F61" i="15" s="1"/>
  <c r="L105" i="7"/>
  <c r="E59" i="15"/>
  <c r="G59" i="15" s="1"/>
  <c r="H59" i="15" s="1"/>
  <c r="L109" i="7"/>
  <c r="E52" i="15"/>
  <c r="G52" i="15" s="1"/>
  <c r="H52" i="15" s="1"/>
  <c r="L111" i="7"/>
  <c r="E57" i="15"/>
  <c r="F57" i="15" s="1"/>
  <c r="L104" i="7"/>
  <c r="E60" i="15"/>
  <c r="G60" i="15" s="1"/>
  <c r="H60" i="15" s="1"/>
  <c r="L110" i="7"/>
  <c r="E56" i="15"/>
  <c r="F56" i="15" s="1"/>
  <c r="L102" i="7"/>
  <c r="E54" i="15"/>
  <c r="G54" i="15" s="1"/>
  <c r="H54" i="15" s="1"/>
  <c r="L106" i="7"/>
  <c r="E53" i="15"/>
  <c r="F53" i="15" s="1"/>
  <c r="L112" i="7"/>
  <c r="V45" i="7"/>
  <c r="V49" i="7"/>
  <c r="W49" i="7" s="1"/>
  <c r="V54" i="7"/>
  <c r="V48" i="7"/>
  <c r="V51" i="7"/>
  <c r="V56" i="7"/>
  <c r="V46" i="7"/>
  <c r="V50" i="7"/>
  <c r="V53" i="7"/>
  <c r="V47" i="7"/>
  <c r="V52" i="7"/>
  <c r="V55" i="7"/>
  <c r="V188" i="7"/>
  <c r="V182" i="7"/>
  <c r="V184" i="7"/>
  <c r="V187" i="7"/>
  <c r="V178" i="7"/>
  <c r="V180" i="7"/>
  <c r="V135" i="7"/>
  <c r="V165" i="7"/>
  <c r="W165" i="7" s="1"/>
  <c r="V167" i="7"/>
  <c r="W167" i="7" s="1"/>
  <c r="V164" i="7"/>
  <c r="W164" i="7" s="1"/>
  <c r="V166" i="7"/>
  <c r="W166" i="7" s="1"/>
  <c r="V168" i="7"/>
  <c r="W168" i="7" s="1"/>
  <c r="V158" i="7"/>
  <c r="W158" i="7" s="1"/>
  <c r="V162" i="7"/>
  <c r="W162" i="7" s="1"/>
  <c r="V173" i="7"/>
  <c r="V179" i="7"/>
  <c r="W179" i="7" s="1"/>
  <c r="V185" i="7"/>
  <c r="V181" i="7"/>
  <c r="V177" i="7"/>
  <c r="V183" i="7"/>
  <c r="V186" i="7"/>
  <c r="V10" i="7"/>
  <c r="V17" i="7"/>
  <c r="V3" i="7"/>
  <c r="V143" i="7"/>
  <c r="V142" i="7"/>
  <c r="V144" i="7"/>
  <c r="V148" i="7"/>
  <c r="V140" i="7"/>
  <c r="V146" i="7"/>
  <c r="V139" i="7"/>
  <c r="V150" i="7"/>
  <c r="V154" i="7"/>
  <c r="V8" i="7"/>
  <c r="V160" i="7"/>
  <c r="W160" i="7" s="1"/>
  <c r="V159" i="7"/>
  <c r="W159" i="7" s="1"/>
  <c r="V169" i="7"/>
  <c r="W169" i="7" s="1"/>
  <c r="V163" i="7"/>
  <c r="W163" i="7" s="1"/>
  <c r="V161" i="7"/>
  <c r="W161" i="7" s="1"/>
  <c r="V15" i="7"/>
  <c r="V145" i="7"/>
  <c r="V149" i="7"/>
  <c r="V147" i="7"/>
  <c r="V18" i="7"/>
  <c r="V141" i="7"/>
  <c r="V13" i="7"/>
  <c r="V7" i="7"/>
  <c r="V9" i="7"/>
  <c r="V16" i="7"/>
  <c r="V11" i="7"/>
  <c r="V14" i="7"/>
  <c r="V12" i="7"/>
  <c r="V41" i="7"/>
  <c r="F52" i="15" l="1"/>
  <c r="G41" i="15"/>
  <c r="H41" i="15" s="1"/>
  <c r="F41" i="15"/>
  <c r="F46" i="15"/>
  <c r="G46" i="15"/>
  <c r="H46" i="15" s="1"/>
  <c r="F47" i="15"/>
  <c r="G47" i="15"/>
  <c r="H47" i="15" s="1"/>
  <c r="F44" i="15"/>
  <c r="G44" i="15"/>
  <c r="H44" i="15" s="1"/>
  <c r="F48" i="15"/>
  <c r="G48" i="15"/>
  <c r="H48" i="15" s="1"/>
  <c r="F40" i="15"/>
  <c r="G40" i="15"/>
  <c r="H40" i="15" s="1"/>
  <c r="G45" i="15"/>
  <c r="H45" i="15" s="1"/>
  <c r="F45" i="15"/>
  <c r="F49" i="15"/>
  <c r="G49" i="15"/>
  <c r="H49" i="15" s="1"/>
  <c r="F43" i="15"/>
  <c r="G43" i="15"/>
  <c r="H43" i="15" s="1"/>
  <c r="F42" i="15"/>
  <c r="G42" i="15"/>
  <c r="H42" i="15" s="1"/>
  <c r="F38" i="15"/>
  <c r="G38" i="15"/>
  <c r="H38" i="15" s="1"/>
  <c r="F39" i="15"/>
  <c r="G39" i="15"/>
  <c r="H39" i="15" s="1"/>
  <c r="G53" i="15"/>
  <c r="H53" i="15" s="1"/>
  <c r="G61" i="15"/>
  <c r="H61" i="15" s="1"/>
  <c r="F55" i="15"/>
  <c r="F58" i="15"/>
  <c r="G56" i="15"/>
  <c r="H56" i="15" s="1"/>
  <c r="G51" i="15"/>
  <c r="H51" i="15" s="1"/>
  <c r="G57" i="15"/>
  <c r="H57" i="15" s="1"/>
  <c r="F59" i="15"/>
  <c r="F60" i="15"/>
  <c r="F54" i="15"/>
  <c r="F50" i="15"/>
  <c r="E83" i="15"/>
  <c r="G83" i="15" s="1"/>
  <c r="H83" i="15" s="1"/>
  <c r="X148" i="7"/>
  <c r="E77" i="15"/>
  <c r="F77" i="15" s="1"/>
  <c r="X147" i="7"/>
  <c r="E5" i="15"/>
  <c r="G5" i="15" s="1"/>
  <c r="H5" i="15" s="1"/>
  <c r="X139" i="7"/>
  <c r="E35" i="15"/>
  <c r="G35" i="15" s="1"/>
  <c r="H35" i="15" s="1"/>
  <c r="X144" i="7"/>
  <c r="E89" i="15"/>
  <c r="F89" i="15" s="1"/>
  <c r="X149" i="7"/>
  <c r="E71" i="15"/>
  <c r="F71" i="15" s="1"/>
  <c r="X146" i="7"/>
  <c r="E23" i="15"/>
  <c r="G23" i="15" s="1"/>
  <c r="H23" i="15" s="1"/>
  <c r="X142" i="7"/>
  <c r="E95" i="15"/>
  <c r="G95" i="15" s="1"/>
  <c r="H95" i="15" s="1"/>
  <c r="X150" i="7"/>
  <c r="E17" i="15"/>
  <c r="G17" i="15" s="1"/>
  <c r="H17" i="15" s="1"/>
  <c r="X141" i="7"/>
  <c r="E65" i="15"/>
  <c r="F65" i="15" s="1"/>
  <c r="X145" i="7"/>
  <c r="E11" i="15"/>
  <c r="G11" i="15" s="1"/>
  <c r="H11" i="15" s="1"/>
  <c r="X140" i="7"/>
  <c r="E29" i="15"/>
  <c r="G29" i="15" s="1"/>
  <c r="H29" i="15" s="1"/>
  <c r="X143" i="7"/>
  <c r="E82" i="15"/>
  <c r="F82" i="15" s="1"/>
  <c r="W47" i="7"/>
  <c r="E70" i="15"/>
  <c r="F70" i="15" s="1"/>
  <c r="W53" i="7"/>
  <c r="E88" i="15"/>
  <c r="F88" i="15" s="1"/>
  <c r="W55" i="7"/>
  <c r="E64" i="15"/>
  <c r="F64" i="15" s="1"/>
  <c r="W50" i="7"/>
  <c r="E16" i="15"/>
  <c r="F16" i="15" s="1"/>
  <c r="W48" i="7"/>
  <c r="E94" i="15"/>
  <c r="F94" i="15" s="1"/>
  <c r="W52" i="7"/>
  <c r="E34" i="15"/>
  <c r="F34" i="15" s="1"/>
  <c r="W46" i="7"/>
  <c r="E4" i="15"/>
  <c r="F4" i="15" s="1"/>
  <c r="W54" i="7"/>
  <c r="E76" i="15"/>
  <c r="F76" i="15" s="1"/>
  <c r="W56" i="7"/>
  <c r="E28" i="15"/>
  <c r="F28" i="15" s="1"/>
  <c r="W51" i="7"/>
  <c r="E10" i="15"/>
  <c r="F10" i="15" s="1"/>
  <c r="W45" i="7"/>
  <c r="E22" i="15"/>
  <c r="F22" i="15" s="1"/>
  <c r="E68" i="15"/>
  <c r="G68" i="15" s="1"/>
  <c r="H68" i="15" s="1"/>
  <c r="W16" i="7"/>
  <c r="E74" i="15"/>
  <c r="F74" i="15" s="1"/>
  <c r="W8" i="7"/>
  <c r="E14" i="15"/>
  <c r="G14" i="15" s="1"/>
  <c r="H14" i="15" s="1"/>
  <c r="W9" i="7"/>
  <c r="E86" i="15"/>
  <c r="G86" i="15" s="1"/>
  <c r="H86" i="15" s="1"/>
  <c r="W7" i="7"/>
  <c r="E2" i="15"/>
  <c r="G2" i="15" s="1"/>
  <c r="H2" i="15" s="1"/>
  <c r="W18" i="7"/>
  <c r="E26" i="15"/>
  <c r="G26" i="15" s="1"/>
  <c r="H26" i="15" s="1"/>
  <c r="W15" i="7"/>
  <c r="E80" i="15"/>
  <c r="G80" i="15" s="1"/>
  <c r="H80" i="15" s="1"/>
  <c r="W10" i="7"/>
  <c r="E62" i="15"/>
  <c r="F62" i="15" s="1"/>
  <c r="W12" i="7"/>
  <c r="E32" i="15"/>
  <c r="G32" i="15" s="1"/>
  <c r="H32" i="15" s="1"/>
  <c r="W14" i="7"/>
  <c r="E20" i="15"/>
  <c r="F20" i="15" s="1"/>
  <c r="W11" i="7"/>
  <c r="E8" i="15"/>
  <c r="G8" i="15" s="1"/>
  <c r="H8" i="15" s="1"/>
  <c r="W13" i="7"/>
  <c r="E92" i="15"/>
  <c r="G92" i="15" s="1"/>
  <c r="H92" i="15" s="1"/>
  <c r="W17" i="7"/>
  <c r="E19" i="15"/>
  <c r="F19" i="15" s="1"/>
  <c r="W182" i="7"/>
  <c r="E97" i="15"/>
  <c r="F97" i="15" s="1"/>
  <c r="W186" i="7"/>
  <c r="E25" i="15"/>
  <c r="G25" i="15" s="1"/>
  <c r="H25" i="15" s="1"/>
  <c r="W185" i="7"/>
  <c r="E79" i="15"/>
  <c r="G79" i="15" s="1"/>
  <c r="H79" i="15" s="1"/>
  <c r="W178" i="7"/>
  <c r="E7" i="15"/>
  <c r="F7" i="15" s="1"/>
  <c r="W188" i="7"/>
  <c r="E91" i="15"/>
  <c r="G91" i="15" s="1"/>
  <c r="H91" i="15" s="1"/>
  <c r="W180" i="7"/>
  <c r="E85" i="15"/>
  <c r="G85" i="15" s="1"/>
  <c r="H85" i="15" s="1"/>
  <c r="W183" i="7"/>
  <c r="E13" i="15"/>
  <c r="G13" i="15" s="1"/>
  <c r="H13" i="15" s="1"/>
  <c r="E67" i="15"/>
  <c r="F67" i="15" s="1"/>
  <c r="W187" i="7"/>
  <c r="E37" i="15"/>
  <c r="G37" i="15" s="1"/>
  <c r="H37" i="15" s="1"/>
  <c r="W181" i="7"/>
  <c r="E73" i="15"/>
  <c r="G73" i="15" s="1"/>
  <c r="H73" i="15" s="1"/>
  <c r="W177" i="7"/>
  <c r="E31" i="15"/>
  <c r="F31" i="15" s="1"/>
  <c r="W184" i="7"/>
  <c r="E36" i="15"/>
  <c r="G36" i="15" s="1"/>
  <c r="H36" i="15" s="1"/>
  <c r="E66" i="15"/>
  <c r="G66" i="15" s="1"/>
  <c r="H66" i="15" s="1"/>
  <c r="E96" i="15"/>
  <c r="F96" i="15" s="1"/>
  <c r="E84" i="15"/>
  <c r="F84" i="15" s="1"/>
  <c r="E12" i="15"/>
  <c r="F12" i="15" s="1"/>
  <c r="E90" i="15"/>
  <c r="G90" i="15" s="1"/>
  <c r="H90" i="15" s="1"/>
  <c r="E72" i="15"/>
  <c r="F72" i="15" s="1"/>
  <c r="E30" i="15"/>
  <c r="F30" i="15" s="1"/>
  <c r="E6" i="15"/>
  <c r="G6" i="15" s="1"/>
  <c r="H6" i="15" s="1"/>
  <c r="E24" i="15"/>
  <c r="G24" i="15" s="1"/>
  <c r="H24" i="15" s="1"/>
  <c r="E18" i="15"/>
  <c r="G18" i="15" s="1"/>
  <c r="H18" i="15" s="1"/>
  <c r="E78" i="15"/>
  <c r="G78" i="15" s="1"/>
  <c r="H78" i="15" s="1"/>
  <c r="T29" i="7"/>
  <c r="AC33" i="7"/>
  <c r="AC27" i="7"/>
  <c r="AC28" i="7"/>
  <c r="AC31" i="7"/>
  <c r="AC36" i="7"/>
  <c r="AC35" i="7"/>
  <c r="AC30" i="7"/>
  <c r="AC32" i="7"/>
  <c r="AC26" i="7"/>
  <c r="AC34" i="7"/>
  <c r="AC37" i="7"/>
  <c r="AC29" i="7"/>
  <c r="X37" i="7"/>
  <c r="U37" i="7"/>
  <c r="T37" i="7"/>
  <c r="X34" i="7"/>
  <c r="U34" i="7"/>
  <c r="T34" i="7"/>
  <c r="X26" i="7"/>
  <c r="U26" i="7"/>
  <c r="T26" i="7"/>
  <c r="X32" i="7"/>
  <c r="U32" i="7"/>
  <c r="T32" i="7"/>
  <c r="X30" i="7"/>
  <c r="U30" i="7"/>
  <c r="T30" i="7"/>
  <c r="X35" i="7"/>
  <c r="U35" i="7"/>
  <c r="T35" i="7"/>
  <c r="X36" i="7"/>
  <c r="U36" i="7"/>
  <c r="T36" i="7"/>
  <c r="X31" i="7"/>
  <c r="U31" i="7"/>
  <c r="T31" i="7"/>
  <c r="X28" i="7"/>
  <c r="U28" i="7"/>
  <c r="T28" i="7"/>
  <c r="X27" i="7"/>
  <c r="U27" i="7"/>
  <c r="T27" i="7"/>
  <c r="X33" i="7"/>
  <c r="U33" i="7"/>
  <c r="T33" i="7"/>
  <c r="X29" i="7"/>
  <c r="U29" i="7"/>
  <c r="U22" i="7"/>
  <c r="T22" i="7"/>
  <c r="F68" i="15" l="1"/>
  <c r="F83" i="15"/>
  <c r="G4" i="15"/>
  <c r="H4" i="15" s="1"/>
  <c r="F36" i="15"/>
  <c r="G20" i="15"/>
  <c r="H20" i="15" s="1"/>
  <c r="F26" i="15"/>
  <c r="F86" i="15"/>
  <c r="G28" i="15"/>
  <c r="H28" i="15" s="1"/>
  <c r="F17" i="15"/>
  <c r="F25" i="15"/>
  <c r="F32" i="15"/>
  <c r="G74" i="15"/>
  <c r="H74" i="15" s="1"/>
  <c r="F35" i="15"/>
  <c r="G34" i="15"/>
  <c r="H34" i="15" s="1"/>
  <c r="F79" i="15"/>
  <c r="G22" i="15"/>
  <c r="H22" i="15" s="1"/>
  <c r="G77" i="15"/>
  <c r="H77" i="15" s="1"/>
  <c r="F8" i="15"/>
  <c r="F80" i="15"/>
  <c r="F95" i="15"/>
  <c r="F14" i="15"/>
  <c r="F2" i="15"/>
  <c r="G76" i="15"/>
  <c r="H76" i="15" s="1"/>
  <c r="F92" i="15"/>
  <c r="G62" i="15"/>
  <c r="H62" i="15" s="1"/>
  <c r="G70" i="15"/>
  <c r="H70" i="15" s="1"/>
  <c r="G64" i="15"/>
  <c r="H64" i="15" s="1"/>
  <c r="G94" i="15"/>
  <c r="H94" i="15" s="1"/>
  <c r="F6" i="15"/>
  <c r="G16" i="15"/>
  <c r="H16" i="15" s="1"/>
  <c r="G88" i="15"/>
  <c r="H88" i="15" s="1"/>
  <c r="F29" i="15"/>
  <c r="F85" i="15"/>
  <c r="G19" i="15"/>
  <c r="H19" i="15" s="1"/>
  <c r="G7" i="15"/>
  <c r="H7" i="15" s="1"/>
  <c r="F37" i="15"/>
  <c r="F91" i="15"/>
  <c r="G31" i="15"/>
  <c r="H31" i="15" s="1"/>
  <c r="G12" i="15"/>
  <c r="H12" i="15" s="1"/>
  <c r="G72" i="15"/>
  <c r="H72" i="15" s="1"/>
  <c r="F90" i="15"/>
  <c r="F24" i="15"/>
  <c r="G89" i="15"/>
  <c r="H89" i="15" s="1"/>
  <c r="F11" i="15"/>
  <c r="G65" i="15"/>
  <c r="H65" i="15" s="1"/>
  <c r="F23" i="15"/>
  <c r="F5" i="15"/>
  <c r="G71" i="15"/>
  <c r="H71" i="15" s="1"/>
  <c r="G10" i="15"/>
  <c r="H10" i="15" s="1"/>
  <c r="G82" i="15"/>
  <c r="H82" i="15" s="1"/>
  <c r="F73" i="15"/>
  <c r="G67" i="15"/>
  <c r="H67" i="15" s="1"/>
  <c r="G97" i="15"/>
  <c r="H97" i="15" s="1"/>
  <c r="F13" i="15"/>
  <c r="G96" i="15"/>
  <c r="H96" i="15" s="1"/>
  <c r="F18" i="15"/>
  <c r="F78" i="15"/>
  <c r="F66" i="15"/>
  <c r="G84" i="15"/>
  <c r="H84" i="15" s="1"/>
  <c r="G30" i="15"/>
  <c r="H30" i="15" s="1"/>
  <c r="V22" i="7"/>
  <c r="V29" i="7"/>
  <c r="V31" i="7"/>
  <c r="V27" i="7"/>
  <c r="V32" i="7"/>
  <c r="V33" i="7"/>
  <c r="V36" i="7"/>
  <c r="V26" i="7"/>
  <c r="V28" i="7"/>
  <c r="V30" i="7"/>
  <c r="V37" i="7"/>
  <c r="V35" i="7"/>
  <c r="V34" i="7"/>
  <c r="E63" i="15" l="1"/>
  <c r="G63" i="15" s="1"/>
  <c r="H63" i="15" s="1"/>
  <c r="W33" i="7"/>
  <c r="E21" i="15"/>
  <c r="G21" i="15" s="1"/>
  <c r="H21" i="15" s="1"/>
  <c r="W29" i="7"/>
  <c r="E75" i="15"/>
  <c r="F75" i="15" s="1"/>
  <c r="W34" i="7"/>
  <c r="E9" i="15"/>
  <c r="G9" i="15" s="1"/>
  <c r="H9" i="15" s="1"/>
  <c r="W28" i="7"/>
  <c r="E93" i="15"/>
  <c r="F93" i="15" s="1"/>
  <c r="W32" i="7"/>
  <c r="E69" i="15"/>
  <c r="F69" i="15" s="1"/>
  <c r="W35" i="7"/>
  <c r="E81" i="15"/>
  <c r="F81" i="15" s="1"/>
  <c r="W27" i="7"/>
  <c r="E3" i="15"/>
  <c r="G3" i="15" s="1"/>
  <c r="H3" i="15" s="1"/>
  <c r="W30" i="7"/>
  <c r="E87" i="15"/>
  <c r="G87" i="15" s="1"/>
  <c r="H87" i="15" s="1"/>
  <c r="W26" i="7"/>
  <c r="E15" i="15"/>
  <c r="G15" i="15" s="1"/>
  <c r="H15" i="15" s="1"/>
  <c r="W37" i="7"/>
  <c r="E27" i="15"/>
  <c r="G27" i="15" s="1"/>
  <c r="H27" i="15" s="1"/>
  <c r="W36" i="7"/>
  <c r="E33" i="15"/>
  <c r="F33" i="15" s="1"/>
  <c r="W31" i="7"/>
  <c r="M102" i="7"/>
  <c r="M104" i="7"/>
  <c r="M105" i="7"/>
  <c r="M106" i="7"/>
  <c r="M113" i="7"/>
  <c r="M111" i="7"/>
  <c r="M109" i="7"/>
  <c r="M110" i="7"/>
  <c r="M107" i="7"/>
  <c r="M108" i="7"/>
  <c r="M103" i="7"/>
  <c r="M112" i="7"/>
  <c r="F21" i="15" l="1"/>
  <c r="F15" i="15"/>
  <c r="F63" i="15"/>
  <c r="G69" i="15"/>
  <c r="H69" i="15" s="1"/>
  <c r="F9" i="15"/>
  <c r="G93" i="15"/>
  <c r="H93" i="15" s="1"/>
  <c r="F27" i="15"/>
  <c r="G75" i="15"/>
  <c r="H75" i="15" s="1"/>
  <c r="G33" i="15"/>
  <c r="H33" i="15" s="1"/>
  <c r="F3" i="15"/>
  <c r="G81" i="15"/>
  <c r="H81" i="15" s="1"/>
  <c r="F87" i="15"/>
</calcChain>
</file>

<file path=xl/sharedStrings.xml><?xml version="1.0" encoding="utf-8"?>
<sst xmlns="http://schemas.openxmlformats.org/spreadsheetml/2006/main" count="903" uniqueCount="182">
  <si>
    <t>Course</t>
  </si>
  <si>
    <t>Player</t>
  </si>
  <si>
    <t>Blue</t>
  </si>
  <si>
    <t>Men's Hdcp</t>
  </si>
  <si>
    <t>In</t>
  </si>
  <si>
    <t>Out</t>
  </si>
  <si>
    <t>HCP</t>
  </si>
  <si>
    <t>Net</t>
  </si>
  <si>
    <t>Par</t>
  </si>
  <si>
    <t>Hole</t>
  </si>
  <si>
    <t>Ridgewood Lakes</t>
  </si>
  <si>
    <t>Team</t>
  </si>
  <si>
    <t>Eric</t>
  </si>
  <si>
    <t>Danny</t>
  </si>
  <si>
    <t>Eric Newsome</t>
  </si>
  <si>
    <t>Billy Newsome</t>
  </si>
  <si>
    <t>4</t>
  </si>
  <si>
    <t>5</t>
  </si>
  <si>
    <t>3</t>
  </si>
  <si>
    <t>1</t>
  </si>
  <si>
    <t>2</t>
  </si>
  <si>
    <t>6</t>
  </si>
  <si>
    <t>7</t>
  </si>
  <si>
    <t>8</t>
  </si>
  <si>
    <t>9</t>
  </si>
  <si>
    <t>10</t>
  </si>
  <si>
    <t>11</t>
  </si>
  <si>
    <t>12</t>
  </si>
  <si>
    <t>13</t>
  </si>
  <si>
    <t>14</t>
  </si>
  <si>
    <t>15</t>
  </si>
  <si>
    <t>16</t>
  </si>
  <si>
    <t>17</t>
  </si>
  <si>
    <t>18</t>
  </si>
  <si>
    <t>Gross</t>
  </si>
  <si>
    <t>Game</t>
  </si>
  <si>
    <t>Danny Birdsall</t>
  </si>
  <si>
    <t>James Wharton</t>
  </si>
  <si>
    <t>Cup Points</t>
  </si>
  <si>
    <t>Skins</t>
  </si>
  <si>
    <t>Grand Cypress NEW Course</t>
  </si>
  <si>
    <t>Champions Gate National Course</t>
  </si>
  <si>
    <t>Champions Gate International Course</t>
  </si>
  <si>
    <t>Match Score</t>
  </si>
  <si>
    <t>Game Points</t>
  </si>
  <si>
    <t>Matt Trumbo</t>
  </si>
  <si>
    <t>Index</t>
  </si>
  <si>
    <t>Bryan Gist</t>
  </si>
  <si>
    <t>Mike Hibbs</t>
  </si>
  <si>
    <t>Rob Craig</t>
  </si>
  <si>
    <t>Jason Powers</t>
  </si>
  <si>
    <t>Trey Liebenrood</t>
  </si>
  <si>
    <t>Chris Webb</t>
  </si>
  <si>
    <t>Matt</t>
  </si>
  <si>
    <t>Ike Birdsall</t>
  </si>
  <si>
    <t>Morning back</t>
  </si>
  <si>
    <t>Team A</t>
  </si>
  <si>
    <t>Team B</t>
  </si>
  <si>
    <t>Team C</t>
  </si>
  <si>
    <t>Team D</t>
  </si>
  <si>
    <t>Matt / Mike</t>
  </si>
  <si>
    <t>Trey / Jason</t>
  </si>
  <si>
    <t>Danny / James</t>
  </si>
  <si>
    <t>Morning</t>
  </si>
  <si>
    <t>Afternoon</t>
  </si>
  <si>
    <t>Calcutta Pairings</t>
  </si>
  <si>
    <t>Total HC</t>
  </si>
  <si>
    <t>Ike</t>
  </si>
  <si>
    <t>James</t>
  </si>
  <si>
    <t>Bryan</t>
  </si>
  <si>
    <t>Jason</t>
  </si>
  <si>
    <t>Billy</t>
  </si>
  <si>
    <t>Trey</t>
  </si>
  <si>
    <t>Rob</t>
  </si>
  <si>
    <t>Chris</t>
  </si>
  <si>
    <t>Mike</t>
  </si>
  <si>
    <t>Pairing Rates</t>
  </si>
  <si>
    <t>Morning front</t>
  </si>
  <si>
    <t>Game 1</t>
  </si>
  <si>
    <t>Game 2</t>
  </si>
  <si>
    <t>Game 3</t>
  </si>
  <si>
    <t>GHCP</t>
  </si>
  <si>
    <t>Game 4</t>
  </si>
  <si>
    <t>Game 5</t>
  </si>
  <si>
    <t>Game 6</t>
  </si>
  <si>
    <t>Match</t>
  </si>
  <si>
    <t>DAY 2 MORNING GARBAGE GAME</t>
  </si>
  <si>
    <t>DAY 1 AFTERNOON OPEN PLAY</t>
  </si>
  <si>
    <t>DAY 4 MORNING SINGLES</t>
  </si>
  <si>
    <t>DAY 4 AFTERNOON SINGLES</t>
  </si>
  <si>
    <t>DAY 5 SINGLES CHAMPIONSHIP</t>
  </si>
  <si>
    <t>GHC</t>
  </si>
  <si>
    <t>N/A</t>
  </si>
  <si>
    <t>DAY 2 AFTERNOON SKINS</t>
  </si>
  <si>
    <t>Orange County National - Crooked Cat</t>
  </si>
  <si>
    <t>Orange County National - Panther</t>
  </si>
  <si>
    <t>Orange</t>
  </si>
  <si>
    <t>Grand Cypress South &amp; East</t>
  </si>
  <si>
    <t>DAY 3 MORNING CALCUTTA</t>
  </si>
  <si>
    <t>DAY 3 AFTERNOON CALCUTTA</t>
  </si>
  <si>
    <t>Format</t>
  </si>
  <si>
    <t>Tie Breakers</t>
  </si>
  <si>
    <t>Captains' Notes</t>
  </si>
  <si>
    <t>Cup Scoring</t>
  </si>
  <si>
    <t>Stakes</t>
  </si>
  <si>
    <t>Tie-breakers will be determined in the following order:
1st: Lowest net individual score for the round
2nd: Lowest net individual score on single hole starting with the #18 ranked hole and working backward</t>
  </si>
  <si>
    <t>Each hole will have a 1 point value and a total of 18 points are possible
The player with the lowest score on an individual hole will be awarded the point
If a hole is tied, no points will be awarded</t>
  </si>
  <si>
    <t>DAY 4 SINGLES</t>
  </si>
  <si>
    <t>Be mindful that the individual scores from each of the Day 4 sessions will be combined with your final score from the Thursday round to determine the individual champion</t>
  </si>
  <si>
    <r>
      <t xml:space="preserve">Two-man rotating match play (each team of two will play every two-some from the opposing team)
Each 2-man team will play a 9-hole low net match against the each of the 4 2-man teams on the opposing squads
Each 2-man team will be awarded 1 point for each hole won and ½ a point for each hole tied
Each 2-man team will be awarded an additional 1 point for each 9-hole match won
</t>
    </r>
    <r>
      <rPr>
        <sz val="9"/>
        <color rgb="FFFF0000"/>
        <rFont val="Calibri"/>
        <family val="2"/>
        <scheme val="minor"/>
      </rPr>
      <t xml:space="preserve">
The maximum amount of points that can be won during each 9-hole match will be capped at 7</t>
    </r>
  </si>
  <si>
    <t>Singles, 54-hole net stroke play; scoring inclusive of both Wed rounds and final round on Thur</t>
  </si>
  <si>
    <t>1 game, no cup points, low net scoring to be calculated against the lowest index in the field</t>
  </si>
  <si>
    <r>
      <t xml:space="preserve">Playing groups for the final round will be determined by ranking NET scores from the 2 rounds played on Wed
</t>
    </r>
    <r>
      <rPr>
        <sz val="9"/>
        <color rgb="FFFF0000"/>
        <rFont val="Calibri"/>
        <family val="2"/>
        <scheme val="minor"/>
      </rPr>
      <t>Afternoon Round:  A free replay is available that must be booked the day of play.  This will not count toward the cup or championship and each player is responsible for booking the round and/or coordinating the car return with others in their group.</t>
    </r>
  </si>
  <si>
    <t>Course rules concerning hazards, drop zones, etc must be followed</t>
  </si>
  <si>
    <t>All scorecards must be attested / signed by all players in the foursome</t>
  </si>
  <si>
    <t>This should go without saying, but PLAY IT AS IT LIES.  Improving any lie will incur a 1 stroke penalty.</t>
  </si>
  <si>
    <t>PRIZE POOL</t>
  </si>
  <si>
    <t>RULES</t>
  </si>
  <si>
    <r>
      <t xml:space="preserve">Each player will be responsible for contributing $110 toward the overall prizes for both the Team Cup and the Individual Championship.  It should be noted that the Calcutta event, which will be played on the second day of the cup, will not be paid from the prize pool.  All contributions need to be made PRIOR TO THE TRIP.  Payments to the prize pool will be received via PayPal by your captain (talk to your captain about exceptions).  This will ensure that the winnings are available at the time of the events and prompt payment to the winners. 
 * Total Prize Pool:     $ 1320
 * Housing Fees:          $   180
 * Cup Pot:                   $   940
 * Individual Pot:        $   200
</t>
    </r>
    <r>
      <rPr>
        <u/>
        <sz val="9"/>
        <color theme="1"/>
        <rFont val="Calibri"/>
        <family val="2"/>
        <scheme val="minor"/>
      </rPr>
      <t>Housing Fees:</t>
    </r>
    <r>
      <rPr>
        <sz val="9"/>
        <color theme="1"/>
        <rFont val="Calibri"/>
        <family val="2"/>
        <scheme val="minor"/>
      </rPr>
      <t xml:space="preserve">  The house rentals require an additional $90 payment at checkout.  This money will be paid by the captains out of the prize pool.
</t>
    </r>
    <r>
      <rPr>
        <u/>
        <sz val="9"/>
        <color theme="1"/>
        <rFont val="Calibri"/>
        <family val="2"/>
        <scheme val="minor"/>
      </rPr>
      <t>Team Cup Pot:</t>
    </r>
    <r>
      <rPr>
        <sz val="9"/>
        <color theme="1"/>
        <rFont val="Calibri"/>
        <family val="2"/>
        <scheme val="minor"/>
      </rPr>
      <t xml:space="preserve">  Unless otherwise agreed by the winning team and their captain, the winning team will split the Cup Pot.  It'll be available Thursday night after the final team rounds are played and paid by your Captain.
</t>
    </r>
    <r>
      <rPr>
        <u/>
        <sz val="9"/>
        <color theme="1"/>
        <rFont val="Calibri"/>
        <family val="2"/>
        <scheme val="minor"/>
      </rPr>
      <t>Cup Individual Pot:</t>
    </r>
    <r>
      <rPr>
        <sz val="9"/>
        <color theme="1"/>
        <rFont val="Calibri"/>
        <family val="2"/>
        <scheme val="minor"/>
      </rPr>
      <t xml:space="preserve">  
 * 1st Place Net:   $150 
 * 2nd Place Net:  $50</t>
    </r>
  </si>
  <si>
    <t>None</t>
  </si>
  <si>
    <t>Concerning out of bounds:  when in doubt, hit a provisional.  DO NOT GO BACK TO RE-TEE.  If no provisional is hit, a drop should be taken where agreed upon by all players in the foursome at a 2 stroke penalty (i.e. if lost on the drive, the player will be playing his 4th shot after the drop).</t>
  </si>
  <si>
    <t>All putts must go in until a player reaches a maximum score of 10 on any given hole.</t>
  </si>
  <si>
    <t>12 games, 12 cup points, low net scoring, strokes calculated based on lower index in each game</t>
  </si>
  <si>
    <t>At the end of the day, points awareded for each 2-man team for all 4 matches will be totaled and ranked re ranked:
1st place     ​​4 points
2nd Place​​    3 points
3rd Place​​     2 points
4th Place ​​    1 point</t>
  </si>
  <si>
    <t>1 total game, 10 cup points, 2-man best ball, low net scoring, strokes calculated based on lowest index in the group
Cash pool defined at auction</t>
  </si>
  <si>
    <t>3 total games, 9 cup points, low net scoring, strokes calculated based on lowest index in the group</t>
  </si>
  <si>
    <t>Singles, 18-hole stroke play matches</t>
  </si>
  <si>
    <t>Round</t>
  </si>
  <si>
    <t>Nt2PAR</t>
  </si>
  <si>
    <t>Gs2PAR</t>
  </si>
  <si>
    <t>Email</t>
  </si>
  <si>
    <t>Phone</t>
  </si>
  <si>
    <t>CupPts</t>
  </si>
  <si>
    <t>Row Labels</t>
  </si>
  <si>
    <t>Grand Total</t>
  </si>
  <si>
    <t>Sum of CupPts</t>
  </si>
  <si>
    <t>(Multiple Items)</t>
  </si>
  <si>
    <t>Column Labels</t>
  </si>
  <si>
    <t>TotNt:Par</t>
  </si>
  <si>
    <t>TotGs:Par</t>
  </si>
  <si>
    <t>AveNt</t>
  </si>
  <si>
    <t>AveGs</t>
  </si>
  <si>
    <t>Gold Tees</t>
  </si>
  <si>
    <t xml:space="preserve"> Game 3</t>
  </si>
  <si>
    <t>R1/R2 Tot Net</t>
  </si>
  <si>
    <t>Modified scamble.  Everyone tees off, selects best ball and plays in from there.</t>
  </si>
  <si>
    <t>DAY 2 CALCUTTA</t>
  </si>
  <si>
    <t>DAY 3 SKINS</t>
  </si>
  <si>
    <t>Tie-breakers will be determined in the following order:
1st: Lowest total gross score of players from Tuesday's round
2nd: Lowest gross score of lower handicapped team players from Sunday’s practice round
3rd: If necessary, 1-hole play-off using alternate shot format</t>
  </si>
  <si>
    <t>DAY 1 Modified Scramble</t>
  </si>
  <si>
    <t>1st place     ​​4 points
2nd Place​​    3 points
3rd Place​​     2 points
4th Place ​​    1 point</t>
  </si>
  <si>
    <t>Lowest net individual score on single hole starting with the #18 ranked hole and working backward</t>
  </si>
  <si>
    <t>3 points to winning team</t>
  </si>
  <si>
    <t>Tuesday 5/24 Pairings</t>
  </si>
  <si>
    <t>Rob / Bryan</t>
  </si>
  <si>
    <t>Wednesday 5/25 Pairings</t>
  </si>
  <si>
    <t>Thursday 5/26 Pairings</t>
  </si>
  <si>
    <t>1 Matt vs 1 Rob</t>
  </si>
  <si>
    <t>2 James vs 2 Bryan</t>
  </si>
  <si>
    <t>2 Karl vs 2 Bryan</t>
  </si>
  <si>
    <t>1 Rob vs 1 Jason</t>
  </si>
  <si>
    <t>2 Trey vs 2 Karl</t>
  </si>
  <si>
    <t>1  Danny vs 1  Matt</t>
  </si>
  <si>
    <t>1 Danny vs 1 Jason</t>
  </si>
  <si>
    <t>2 James vs 2 Trey</t>
  </si>
  <si>
    <t>Friday 5/27 Pairings</t>
  </si>
  <si>
    <t>Group 1</t>
  </si>
  <si>
    <t>Group 2</t>
  </si>
  <si>
    <r>
      <t xml:space="preserve">The Calcutta Auction is an opportunity to wage bets on each twosome.  Two-man team match play format in which both the Calcutta Auction money and Cup Tournament points will be at stake.  </t>
    </r>
    <r>
      <rPr>
        <sz val="9"/>
        <color rgb="FFFF0000"/>
        <rFont val="Calibri"/>
        <family val="2"/>
        <scheme val="minor"/>
      </rPr>
      <t xml:space="preserve">An auction will be held to bid on the respective teams - only one person can 'own' a team. </t>
    </r>
    <r>
      <rPr>
        <sz val="9"/>
        <color theme="1"/>
        <rFont val="Calibri"/>
        <family val="2"/>
        <scheme val="minor"/>
      </rPr>
      <t xml:space="preserve">
</t>
    </r>
    <r>
      <rPr>
        <b/>
        <sz val="9"/>
        <color theme="1"/>
        <rFont val="Calibri"/>
        <family val="2"/>
        <scheme val="minor"/>
      </rPr>
      <t>The Auction:</t>
    </r>
    <r>
      <rPr>
        <sz val="9"/>
        <color theme="1"/>
        <rFont val="Calibri"/>
        <family val="2"/>
        <scheme val="minor"/>
      </rPr>
      <t xml:space="preserve">
Auction bidding will start at $30 per team with bidding increments of $20.
Cash will be the only form of payment accepted and collected by captains
</t>
    </r>
    <r>
      <rPr>
        <b/>
        <sz val="9"/>
        <color theme="1"/>
        <rFont val="Calibri"/>
        <family val="2"/>
        <scheme val="minor"/>
      </rPr>
      <t xml:space="preserve">
The Payout: </t>
    </r>
    <r>
      <rPr>
        <sz val="9"/>
        <color theme="1"/>
        <rFont val="Calibri"/>
        <family val="2"/>
        <scheme val="minor"/>
      </rPr>
      <t xml:space="preserve">The Calcutta placement calculations are:
</t>
    </r>
    <r>
      <rPr>
        <u/>
        <sz val="9"/>
        <color theme="1"/>
        <rFont val="Calibri"/>
        <family val="2"/>
        <scheme val="minor"/>
      </rPr>
      <t>Winner</t>
    </r>
    <r>
      <rPr>
        <sz val="9"/>
        <color theme="1"/>
        <rFont val="Calibri"/>
        <family val="2"/>
        <scheme val="minor"/>
      </rPr>
      <t xml:space="preserve"> (70% Pot with 25% of winnings to winning players)
</t>
    </r>
    <r>
      <rPr>
        <u/>
        <sz val="9"/>
        <color theme="1"/>
        <rFont val="Calibri"/>
        <family val="2"/>
        <scheme val="minor"/>
      </rPr>
      <t>2nd Place</t>
    </r>
    <r>
      <rPr>
        <sz val="9"/>
        <color theme="1"/>
        <rFont val="Calibri"/>
        <family val="2"/>
        <scheme val="minor"/>
      </rPr>
      <t xml:space="preserve"> (30% Pot with 20% of winnings to 2nd Place players)
</t>
    </r>
    <r>
      <rPr>
        <u/>
        <sz val="9"/>
        <color theme="1"/>
        <rFont val="Calibri"/>
        <family val="2"/>
        <scheme val="minor"/>
      </rPr>
      <t/>
    </r>
  </si>
  <si>
    <t>A (Danny / James) vs B (Rob / Bryan)</t>
  </si>
  <si>
    <t>C (Trey / Jason) vs D (Matt / Mike)</t>
  </si>
  <si>
    <t>A (Danny / James) vs C (Trey / Jason)</t>
  </si>
  <si>
    <t>B (Rob / Bryan) vs D (Matt / Chris)</t>
  </si>
  <si>
    <t>A (Danny/James) vs D (Matt / Mike)</t>
  </si>
  <si>
    <t>B (Rob / Bryan) vs C (Trey / Jason)</t>
  </si>
  <si>
    <t>Afternoon 18</t>
  </si>
  <si>
    <t>Each person will receive points for the number of skins they receive in the foursome:
1st place     ​​4 points
2nd Place​​    3 points
3rd Place​​     2 points
4th Place ​​    1 point</t>
  </si>
  <si>
    <t>Rds 6,7,8</t>
  </si>
  <si>
    <t>Standing</t>
  </si>
  <si>
    <t>To Par</t>
  </si>
  <si>
    <t>Singles Net Total</t>
  </si>
  <si>
    <t>Final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</si>
</sst>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1" x14ac:knownFonts="1">
    <font>
      <sz val="11"/>
      <color theme="1"/>
      <name val="Calibri"/>
      <family val="2"/>
      <scheme val="minor"/>
    </font>
    <font>
      <b/>
      <sz val="10"/>
      <color theme="1"/>
      <name val="Calibri"/>
      <family val="2"/>
      <scheme val="minor"/>
    </font>
    <font>
      <sz val="10"/>
      <color theme="1"/>
      <name val="Calibri"/>
      <family val="2"/>
      <scheme val="minor"/>
    </font>
    <font>
      <b/>
      <sz val="10"/>
      <color theme="0"/>
      <name val="Calibri"/>
      <family val="2"/>
      <scheme val="minor"/>
    </font>
    <font>
      <b/>
      <sz val="9"/>
      <color theme="0"/>
      <name val="Calibri"/>
      <family val="2"/>
      <scheme val="minor"/>
    </font>
    <font>
      <sz val="9"/>
      <color theme="1"/>
      <name val="Calibri"/>
      <family val="2"/>
      <scheme val="minor"/>
    </font>
    <font>
      <b/>
      <u/>
      <sz val="9"/>
      <color theme="1"/>
      <name val="Calibri"/>
      <family val="2"/>
      <scheme val="minor"/>
    </font>
    <font>
      <b/>
      <i/>
      <sz val="9"/>
      <color theme="0"/>
      <name val="Calibri"/>
      <family val="2"/>
      <scheme val="minor"/>
    </font>
    <font>
      <sz val="10"/>
      <color rgb="FFFF0000"/>
      <name val="Calibri"/>
      <family val="2"/>
      <scheme val="minor"/>
    </font>
    <font>
      <sz val="11"/>
      <color theme="0"/>
      <name val="Calibri"/>
      <family val="2"/>
      <scheme val="minor"/>
    </font>
    <font>
      <sz val="10"/>
      <color theme="0"/>
      <name val="Calibri"/>
      <family val="2"/>
      <scheme val="minor"/>
    </font>
    <font>
      <sz val="9"/>
      <name val="Calibri"/>
      <family val="2"/>
      <scheme val="minor"/>
    </font>
    <font>
      <b/>
      <sz val="9"/>
      <color theme="1"/>
      <name val="Calibri"/>
      <family val="2"/>
      <scheme val="minor"/>
    </font>
    <font>
      <u/>
      <sz val="9"/>
      <color theme="1"/>
      <name val="Calibri"/>
      <family val="2"/>
      <scheme val="minor"/>
    </font>
    <font>
      <sz val="9"/>
      <color rgb="FFFF0000"/>
      <name val="Calibri"/>
      <family val="2"/>
      <scheme val="minor"/>
    </font>
    <font>
      <sz val="9"/>
      <color theme="1"/>
      <name val="Calibri"/>
      <family val="2"/>
      <scheme val="minor"/>
    </font>
    <font>
      <sz val="10"/>
      <name val="Calibri"/>
      <family val="2"/>
      <scheme val="minor"/>
    </font>
    <font>
      <b/>
      <sz val="10"/>
      <color rgb="FFFF0000"/>
      <name val="Calibri"/>
      <family val="2"/>
      <scheme val="minor"/>
    </font>
    <font>
      <sz val="10"/>
      <color theme="1"/>
      <name val="Calibri"/>
      <family val="2"/>
      <scheme val="minor"/>
    </font>
    <font>
      <sz val="9"/>
      <color rgb="FF000000"/>
      <name val="Calibri"/>
      <family val="2"/>
    </font>
    <font>
      <b/>
      <sz val="9"/>
      <color rgb="FFFFFFFF"/>
      <name val="Calibri"/>
      <family val="2"/>
    </font>
  </fonts>
  <fills count="16">
    <fill>
      <patternFill patternType="none"/>
    </fill>
    <fill>
      <patternFill patternType="gray125"/>
    </fill>
    <fill>
      <patternFill patternType="solid">
        <fgColor theme="4"/>
        <bgColor theme="4"/>
      </patternFill>
    </fill>
    <fill>
      <patternFill patternType="solid">
        <fgColor theme="3"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theme="4" tint="0.79998168889431442"/>
        <bgColor theme="4" tint="0.79998168889431442"/>
      </patternFill>
    </fill>
    <fill>
      <patternFill patternType="solid">
        <fgColor theme="1"/>
        <bgColor indexed="64"/>
      </patternFill>
    </fill>
    <fill>
      <patternFill patternType="solid">
        <fgColor theme="4"/>
        <bgColor indexed="64"/>
      </patternFill>
    </fill>
    <fill>
      <patternFill patternType="solid">
        <fgColor theme="5" tint="0.59999389629810485"/>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bgColor theme="4" tint="0.79998168889431442"/>
      </patternFill>
    </fill>
    <fill>
      <patternFill patternType="solid">
        <fgColor theme="4" tint="0.79998168889431442"/>
        <bgColor indexed="64"/>
      </patternFill>
    </fill>
    <fill>
      <patternFill patternType="solid">
        <fgColor rgb="FFDCE6F1"/>
        <bgColor indexed="64"/>
      </patternFill>
    </fill>
    <fill>
      <patternFill patternType="solid">
        <fgColor rgb="FF4F81BD"/>
        <bgColor indexed="64"/>
      </patternFill>
    </fill>
  </fills>
  <borders count="55">
    <border>
      <left/>
      <right/>
      <top/>
      <bottom/>
      <diagonal/>
    </border>
    <border>
      <left/>
      <right/>
      <top style="thin">
        <color theme="4" tint="0.39997558519241921"/>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rgb="FF000000"/>
      </left>
      <right/>
      <top/>
      <bottom/>
      <diagonal/>
    </border>
    <border>
      <left style="thin">
        <color indexed="64"/>
      </left>
      <right/>
      <top style="thin">
        <color indexed="64"/>
      </top>
      <bottom style="thin">
        <color rgb="FF000000"/>
      </bottom>
      <diagonal/>
    </border>
    <border>
      <left/>
      <right/>
      <top style="thin">
        <color theme="4" tint="0.39997558519241921"/>
      </top>
      <bottom style="thin">
        <color theme="4" tint="0.3999755851924192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4" tint="0.39997558519241921"/>
      </left>
      <right style="medium">
        <color indexed="64"/>
      </right>
      <top style="thin">
        <color theme="4" tint="0.39997558519241921"/>
      </top>
      <bottom style="medium">
        <color indexed="64"/>
      </bottom>
      <diagonal/>
    </border>
    <border>
      <left style="medium">
        <color indexed="64"/>
      </left>
      <right style="medium">
        <color indexed="64"/>
      </right>
      <top style="thin">
        <color theme="4" tint="0.39997558519241921"/>
      </top>
      <bottom style="medium">
        <color indexed="64"/>
      </bottom>
      <diagonal/>
    </border>
    <border>
      <left style="medium">
        <color indexed="64"/>
      </left>
      <right/>
      <top style="thin">
        <color theme="4" tint="0.39997558519241921"/>
      </top>
      <bottom/>
      <diagonal/>
    </border>
    <border>
      <left style="medium">
        <color indexed="64"/>
      </left>
      <right style="medium">
        <color indexed="64"/>
      </right>
      <top style="thin">
        <color theme="4" tint="0.39997558519241921"/>
      </top>
      <bottom/>
      <diagonal/>
    </border>
    <border>
      <left style="medium">
        <color indexed="64"/>
      </left>
      <right/>
      <top style="thin">
        <color theme="4" tint="0.39997558519241921"/>
      </top>
      <bottom style="medium">
        <color indexed="64"/>
      </bottom>
      <diagonal/>
    </border>
    <border>
      <left style="medium">
        <color indexed="64"/>
      </left>
      <right/>
      <top style="medium">
        <color indexed="64"/>
      </top>
      <bottom style="thin">
        <color theme="4" tint="0.39997558519241921"/>
      </bottom>
      <diagonal/>
    </border>
    <border>
      <left/>
      <right/>
      <top style="thin">
        <color theme="4" tint="0.39997558519241921"/>
      </top>
      <bottom style="medium">
        <color indexed="64"/>
      </bottom>
      <diagonal/>
    </border>
    <border>
      <left/>
      <right style="medium">
        <color indexed="64"/>
      </right>
      <top style="medium">
        <color indexed="64"/>
      </top>
      <bottom style="thin">
        <color theme="4" tint="0.39997558519241921"/>
      </bottom>
      <diagonal/>
    </border>
    <border>
      <left/>
      <right style="medium">
        <color indexed="64"/>
      </right>
      <top style="thin">
        <color theme="4" tint="0.39997558519241921"/>
      </top>
      <bottom style="medium">
        <color indexed="64"/>
      </bottom>
      <diagonal/>
    </border>
    <border>
      <left/>
      <right style="medium">
        <color indexed="64"/>
      </right>
      <top style="thin">
        <color theme="4" tint="0.39997558519241921"/>
      </top>
      <bottom/>
      <diagonal/>
    </border>
    <border>
      <left style="thin">
        <color theme="4" tint="0.39997558519241921"/>
      </left>
      <right style="thin">
        <color theme="4" tint="0.39997558519241921"/>
      </right>
      <top style="thin">
        <color theme="4" tint="0.39997558519241921"/>
      </top>
      <bottom/>
      <diagonal/>
    </border>
    <border>
      <left style="thin">
        <color theme="4" tint="0.39997558519241921"/>
      </left>
      <right style="medium">
        <color indexed="64"/>
      </right>
      <top style="medium">
        <color indexed="64"/>
      </top>
      <bottom/>
      <diagonal/>
    </border>
    <border>
      <left style="thin">
        <color theme="4" tint="0.39997558519241921"/>
      </left>
      <right style="medium">
        <color indexed="64"/>
      </right>
      <top style="thin">
        <color theme="4" tint="0.39997558519241921"/>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rgb="FF95B3D7"/>
      </right>
      <top style="medium">
        <color rgb="FF95B3D7"/>
      </top>
      <bottom/>
      <diagonal/>
    </border>
    <border>
      <left/>
      <right style="medium">
        <color rgb="FF95B3D7"/>
      </right>
      <top style="medium">
        <color rgb="FF95B3D7"/>
      </top>
      <bottom style="medium">
        <color rgb="FF95B3D7"/>
      </bottom>
      <diagonal/>
    </border>
    <border>
      <left/>
      <right/>
      <top style="medium">
        <color rgb="FF95B3D7"/>
      </top>
      <bottom style="medium">
        <color rgb="FF95B3D7"/>
      </bottom>
      <diagonal/>
    </border>
    <border>
      <left style="medium">
        <color rgb="FF95B3D7"/>
      </left>
      <right/>
      <top style="medium">
        <color rgb="FF95B3D7"/>
      </top>
      <bottom style="medium">
        <color rgb="FF95B3D7"/>
      </bottom>
      <diagonal/>
    </border>
    <border>
      <left/>
      <right/>
      <top style="medium">
        <color rgb="FF95B3D7"/>
      </top>
      <bottom/>
      <diagonal/>
    </border>
    <border>
      <left style="medium">
        <color rgb="FF95B3D7"/>
      </left>
      <right/>
      <top style="medium">
        <color rgb="FF95B3D7"/>
      </top>
      <bottom/>
      <diagonal/>
    </border>
    <border>
      <left/>
      <right style="medium">
        <color rgb="FF95B3D7"/>
      </right>
      <top/>
      <bottom/>
      <diagonal/>
    </border>
    <border>
      <left style="medium">
        <color rgb="FF95B3D7"/>
      </left>
      <right/>
      <top/>
      <bottom style="medium">
        <color rgb="FF95B3D7"/>
      </bottom>
      <diagonal/>
    </border>
  </borders>
  <cellStyleXfs count="1">
    <xf numFmtId="0" fontId="0" fillId="0" borderId="0"/>
  </cellStyleXfs>
  <cellXfs count="170">
    <xf numFmtId="0" fontId="0" fillId="0" borderId="0" xfId="0"/>
    <xf numFmtId="0" fontId="1" fillId="0" borderId="0" xfId="0" applyFont="1"/>
    <xf numFmtId="0" fontId="1" fillId="0" borderId="0" xfId="0" applyFont="1" applyAlignment="1">
      <alignment horizontal="left" vertical="center"/>
    </xf>
    <xf numFmtId="0" fontId="2" fillId="0" borderId="0" xfId="0" applyFont="1" applyAlignment="1">
      <alignment horizontal="center" vertical="center"/>
    </xf>
    <xf numFmtId="0" fontId="2" fillId="0" borderId="0" xfId="0" applyFont="1"/>
    <xf numFmtId="0" fontId="2" fillId="3" borderId="2" xfId="0" applyFont="1" applyFill="1" applyBorder="1"/>
    <xf numFmtId="0" fontId="2" fillId="3" borderId="2" xfId="0" applyFont="1" applyFill="1" applyBorder="1" applyAlignment="1">
      <alignment horizontal="center" vertical="center"/>
    </xf>
    <xf numFmtId="0" fontId="2" fillId="5" borderId="2" xfId="0" applyFont="1" applyFill="1" applyBorder="1" applyAlignment="1">
      <alignment horizontal="center" vertical="center"/>
    </xf>
    <xf numFmtId="0" fontId="2" fillId="4" borderId="2" xfId="0" applyFont="1" applyFill="1" applyBorder="1"/>
    <xf numFmtId="0" fontId="2" fillId="4" borderId="2" xfId="0" applyFont="1" applyFill="1" applyBorder="1" applyAlignment="1">
      <alignment horizontal="center" vertical="center"/>
    </xf>
    <xf numFmtId="0" fontId="2" fillId="0" borderId="2" xfId="0" applyFont="1" applyBorder="1"/>
    <xf numFmtId="0" fontId="2" fillId="0" borderId="2" xfId="0" applyFont="1" applyBorder="1" applyAlignment="1">
      <alignment horizontal="center" vertical="center"/>
    </xf>
    <xf numFmtId="0" fontId="3" fillId="5" borderId="11" xfId="0" applyFont="1" applyFill="1" applyBorder="1"/>
    <xf numFmtId="0" fontId="3" fillId="5" borderId="10" xfId="0" applyFont="1" applyFill="1" applyBorder="1" applyAlignment="1">
      <alignment horizontal="left" vertical="center"/>
    </xf>
    <xf numFmtId="0" fontId="2" fillId="0" borderId="9" xfId="0" applyFont="1" applyFill="1" applyBorder="1" applyAlignment="1">
      <alignment horizontal="center" vertical="center"/>
    </xf>
    <xf numFmtId="0" fontId="2" fillId="5" borderId="9" xfId="0" applyFont="1" applyFill="1" applyBorder="1" applyAlignment="1">
      <alignment horizontal="center" vertical="center"/>
    </xf>
    <xf numFmtId="0" fontId="2" fillId="0" borderId="12" xfId="0" applyFont="1" applyFill="1" applyBorder="1" applyAlignment="1">
      <alignment horizontal="center" vertical="center"/>
    </xf>
    <xf numFmtId="0" fontId="2" fillId="5" borderId="12" xfId="0" applyFont="1" applyFill="1" applyBorder="1" applyAlignment="1">
      <alignment horizontal="center" vertical="center"/>
    </xf>
    <xf numFmtId="0" fontId="2" fillId="5" borderId="5" xfId="0" applyFont="1" applyFill="1" applyBorder="1"/>
    <xf numFmtId="0" fontId="2" fillId="0" borderId="3" xfId="0" applyFont="1" applyBorder="1"/>
    <xf numFmtId="0" fontId="2" fillId="5" borderId="4" xfId="0" applyFont="1" applyFill="1" applyBorder="1" applyAlignment="1">
      <alignment horizontal="center" vertical="center"/>
    </xf>
    <xf numFmtId="0" fontId="2" fillId="4" borderId="9" xfId="0" applyFont="1" applyFill="1" applyBorder="1" applyAlignment="1">
      <alignment horizontal="center" vertical="center"/>
    </xf>
    <xf numFmtId="0" fontId="5" fillId="0" borderId="0" xfId="0" applyFont="1"/>
    <xf numFmtId="0" fontId="5" fillId="0" borderId="0" xfId="0" applyFont="1" applyAlignment="1">
      <alignment horizontal="center"/>
    </xf>
    <xf numFmtId="0" fontId="2" fillId="5" borderId="6" xfId="0" applyFont="1" applyFill="1" applyBorder="1" applyAlignment="1">
      <alignment horizontal="left" vertical="center"/>
    </xf>
    <xf numFmtId="0" fontId="2" fillId="5" borderId="7" xfId="0" applyFont="1" applyFill="1" applyBorder="1" applyAlignment="1">
      <alignment horizontal="left" vertical="center"/>
    </xf>
    <xf numFmtId="0" fontId="6" fillId="0" borderId="0" xfId="0" applyFont="1"/>
    <xf numFmtId="0" fontId="5" fillId="0" borderId="0" xfId="0" applyFont="1" applyBorder="1"/>
    <xf numFmtId="0" fontId="5" fillId="0" borderId="17" xfId="0" applyFont="1" applyBorder="1" applyAlignment="1">
      <alignment horizontal="center"/>
    </xf>
    <xf numFmtId="0" fontId="5" fillId="0" borderId="18" xfId="0" applyFont="1" applyBorder="1" applyAlignment="1">
      <alignment horizontal="center"/>
    </xf>
    <xf numFmtId="0" fontId="5" fillId="0" borderId="0" xfId="0" applyFont="1" applyBorder="1" applyAlignment="1">
      <alignment horizontal="center"/>
    </xf>
    <xf numFmtId="0" fontId="5" fillId="7" borderId="2" xfId="0" applyFont="1" applyFill="1" applyBorder="1" applyAlignment="1">
      <alignment horizontal="center"/>
    </xf>
    <xf numFmtId="0" fontId="5" fillId="0" borderId="24" xfId="0" applyFont="1" applyBorder="1" applyAlignment="1">
      <alignment horizontal="center"/>
    </xf>
    <xf numFmtId="0" fontId="7" fillId="2" borderId="14" xfId="0" applyFont="1" applyFill="1" applyBorder="1" applyAlignment="1">
      <alignment horizontal="center"/>
    </xf>
    <xf numFmtId="0" fontId="7" fillId="2" borderId="19" xfId="0" applyFont="1" applyFill="1" applyBorder="1" applyAlignment="1">
      <alignment horizontal="center"/>
    </xf>
    <xf numFmtId="0" fontId="5" fillId="6" borderId="14" xfId="0" applyFont="1" applyFill="1" applyBorder="1" applyAlignment="1">
      <alignment horizontal="center"/>
    </xf>
    <xf numFmtId="0" fontId="5" fillId="6" borderId="19" xfId="0" applyFont="1" applyFill="1" applyBorder="1" applyAlignment="1">
      <alignment horizontal="center"/>
    </xf>
    <xf numFmtId="0" fontId="5" fillId="0" borderId="25" xfId="0" applyFont="1" applyBorder="1" applyAlignment="1">
      <alignment horizontal="center"/>
    </xf>
    <xf numFmtId="0" fontId="5" fillId="0" borderId="26" xfId="0" applyFont="1" applyBorder="1" applyAlignment="1">
      <alignment horizontal="center"/>
    </xf>
    <xf numFmtId="0" fontId="5" fillId="0" borderId="27" xfId="0" applyFont="1" applyBorder="1" applyAlignment="1">
      <alignment horizontal="center"/>
    </xf>
    <xf numFmtId="0" fontId="5" fillId="0" borderId="29" xfId="0" applyFont="1" applyBorder="1" applyAlignment="1">
      <alignment horizontal="center"/>
    </xf>
    <xf numFmtId="0" fontId="5" fillId="0" borderId="31" xfId="0" applyFont="1" applyBorder="1" applyAlignment="1">
      <alignment horizontal="center"/>
    </xf>
    <xf numFmtId="0" fontId="5" fillId="6" borderId="15" xfId="0" applyFont="1" applyFill="1" applyBorder="1" applyAlignment="1">
      <alignment horizontal="center"/>
    </xf>
    <xf numFmtId="0" fontId="5" fillId="6" borderId="16" xfId="0" applyFont="1" applyFill="1" applyBorder="1" applyAlignment="1">
      <alignment horizontal="center"/>
    </xf>
    <xf numFmtId="0" fontId="5" fillId="0" borderId="1" xfId="0" applyFont="1" applyBorder="1" applyAlignment="1">
      <alignment horizontal="center"/>
    </xf>
    <xf numFmtId="0" fontId="5" fillId="0" borderId="32" xfId="0" applyFont="1" applyBorder="1" applyAlignment="1">
      <alignment horizontal="center"/>
    </xf>
    <xf numFmtId="0" fontId="5" fillId="6" borderId="25" xfId="0" applyFont="1" applyFill="1" applyBorder="1" applyAlignment="1">
      <alignment horizontal="center"/>
    </xf>
    <xf numFmtId="0" fontId="5" fillId="6" borderId="1" xfId="0" applyFont="1" applyFill="1" applyBorder="1" applyAlignment="1">
      <alignment horizontal="center"/>
    </xf>
    <xf numFmtId="0" fontId="5" fillId="6" borderId="32" xfId="0" applyFont="1" applyFill="1" applyBorder="1" applyAlignment="1">
      <alignment horizontal="center"/>
    </xf>
    <xf numFmtId="0" fontId="4" fillId="2" borderId="14" xfId="0" applyFont="1" applyFill="1" applyBorder="1" applyAlignment="1">
      <alignment horizontal="center"/>
    </xf>
    <xf numFmtId="0" fontId="0" fillId="0" borderId="0" xfId="0" applyBorder="1"/>
    <xf numFmtId="0" fontId="7" fillId="8" borderId="14" xfId="0" applyFont="1" applyFill="1" applyBorder="1" applyAlignment="1">
      <alignment horizontal="center"/>
    </xf>
    <xf numFmtId="0" fontId="5" fillId="6" borderId="34" xfId="0" applyFont="1" applyFill="1" applyBorder="1" applyAlignment="1">
      <alignment horizontal="center"/>
    </xf>
    <xf numFmtId="0" fontId="5" fillId="0" borderId="35" xfId="0" applyFont="1" applyBorder="1" applyAlignment="1">
      <alignment horizontal="center"/>
    </xf>
    <xf numFmtId="0" fontId="5" fillId="0" borderId="34" xfId="0" applyFont="1" applyBorder="1" applyAlignment="1">
      <alignment horizontal="center"/>
    </xf>
    <xf numFmtId="0" fontId="4" fillId="0" borderId="33"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5" fillId="6" borderId="9" xfId="0" applyFont="1" applyFill="1" applyBorder="1" applyAlignment="1">
      <alignment horizontal="center"/>
    </xf>
    <xf numFmtId="0" fontId="5" fillId="0" borderId="9" xfId="0" applyFont="1" applyBorder="1" applyAlignment="1">
      <alignment horizontal="center"/>
    </xf>
    <xf numFmtId="0" fontId="7" fillId="2" borderId="20" xfId="0" applyFont="1" applyFill="1" applyBorder="1" applyAlignment="1">
      <alignment horizontal="center"/>
    </xf>
    <xf numFmtId="0" fontId="7" fillId="2" borderId="21" xfId="0" applyFont="1" applyFill="1" applyBorder="1" applyAlignment="1">
      <alignment horizontal="center"/>
    </xf>
    <xf numFmtId="0" fontId="7" fillId="2" borderId="22" xfId="0" applyFont="1" applyFill="1" applyBorder="1" applyAlignment="1">
      <alignment horizontal="center"/>
    </xf>
    <xf numFmtId="0" fontId="5" fillId="7" borderId="36" xfId="0" applyFont="1" applyFill="1" applyBorder="1" applyAlignment="1">
      <alignment horizontal="center"/>
    </xf>
    <xf numFmtId="0" fontId="5" fillId="6" borderId="36" xfId="0" applyFont="1" applyFill="1" applyBorder="1" applyAlignment="1">
      <alignment horizontal="center"/>
    </xf>
    <xf numFmtId="0" fontId="5" fillId="6" borderId="37" xfId="0" applyFont="1" applyFill="1" applyBorder="1" applyAlignment="1">
      <alignment horizontal="center"/>
    </xf>
    <xf numFmtId="0" fontId="5" fillId="7" borderId="9" xfId="0" applyFont="1" applyFill="1" applyBorder="1" applyAlignment="1">
      <alignment horizontal="center"/>
    </xf>
    <xf numFmtId="0" fontId="5" fillId="0" borderId="8" xfId="0" applyFont="1" applyBorder="1" applyAlignment="1">
      <alignment horizontal="center"/>
    </xf>
    <xf numFmtId="0" fontId="5" fillId="6" borderId="8" xfId="0" applyFont="1" applyFill="1" applyBorder="1" applyAlignment="1">
      <alignment horizontal="center"/>
    </xf>
    <xf numFmtId="0" fontId="5" fillId="0" borderId="4" xfId="0" applyFont="1" applyBorder="1" applyAlignment="1">
      <alignment horizontal="center"/>
    </xf>
    <xf numFmtId="0" fontId="2" fillId="0" borderId="4" xfId="0" applyFont="1" applyFill="1" applyBorder="1" applyAlignment="1">
      <alignment horizontal="center" vertical="center"/>
    </xf>
    <xf numFmtId="0" fontId="2" fillId="9" borderId="9" xfId="0" applyFont="1" applyFill="1" applyBorder="1" applyAlignment="1">
      <alignment horizontal="center" vertical="center"/>
    </xf>
    <xf numFmtId="0" fontId="2" fillId="0" borderId="0" xfId="0" applyFont="1" applyAlignment="1">
      <alignment horizontal="center"/>
    </xf>
    <xf numFmtId="0" fontId="0" fillId="0" borderId="0" xfId="0" applyAlignment="1">
      <alignment horizontal="center"/>
    </xf>
    <xf numFmtId="0" fontId="8" fillId="0" borderId="9" xfId="0" applyFont="1" applyFill="1" applyBorder="1" applyAlignment="1">
      <alignment horizontal="center" vertical="center"/>
    </xf>
    <xf numFmtId="1" fontId="2" fillId="5" borderId="9" xfId="0" applyNumberFormat="1" applyFont="1" applyFill="1" applyBorder="1" applyAlignment="1">
      <alignment horizontal="center" vertical="center"/>
    </xf>
    <xf numFmtId="0" fontId="2" fillId="9" borderId="12" xfId="0" applyFont="1" applyFill="1" applyBorder="1" applyAlignment="1">
      <alignment horizontal="center" vertical="center"/>
    </xf>
    <xf numFmtId="0" fontId="8" fillId="9" borderId="9" xfId="0" applyFont="1" applyFill="1" applyBorder="1" applyAlignment="1">
      <alignment horizontal="center" vertical="center"/>
    </xf>
    <xf numFmtId="0" fontId="10" fillId="10" borderId="0" xfId="0" applyFont="1" applyFill="1"/>
    <xf numFmtId="0" fontId="10" fillId="10" borderId="0" xfId="0" applyFont="1" applyFill="1" applyAlignment="1">
      <alignment horizontal="center" vertical="center"/>
    </xf>
    <xf numFmtId="0" fontId="9" fillId="10" borderId="0" xfId="0" applyFont="1" applyFill="1" applyAlignment="1">
      <alignment horizontal="center"/>
    </xf>
    <xf numFmtId="0" fontId="9" fillId="10" borderId="0" xfId="0" applyFont="1" applyFill="1"/>
    <xf numFmtId="0" fontId="2" fillId="0" borderId="0" xfId="0" applyFont="1" applyBorder="1"/>
    <xf numFmtId="0" fontId="2" fillId="0" borderId="0" xfId="0" applyFont="1" applyBorder="1" applyAlignment="1">
      <alignment horizontal="center" vertical="center"/>
    </xf>
    <xf numFmtId="0" fontId="2" fillId="0" borderId="0" xfId="0" applyFont="1" applyFill="1" applyBorder="1" applyAlignment="1">
      <alignment horizontal="center" vertical="center"/>
    </xf>
    <xf numFmtId="0" fontId="2" fillId="9" borderId="2" xfId="0" applyFont="1" applyFill="1" applyBorder="1" applyAlignment="1">
      <alignment horizontal="center" vertical="center"/>
    </xf>
    <xf numFmtId="1" fontId="2" fillId="0" borderId="0" xfId="0" applyNumberFormat="1" applyFont="1" applyFill="1" applyBorder="1" applyAlignment="1">
      <alignment horizontal="center" vertical="center"/>
    </xf>
    <xf numFmtId="0" fontId="2" fillId="0" borderId="1" xfId="0" applyFont="1" applyFill="1" applyBorder="1"/>
    <xf numFmtId="0" fontId="2" fillId="0" borderId="1" xfId="0" applyFont="1" applyFill="1" applyBorder="1" applyAlignment="1">
      <alignment horizontal="center"/>
    </xf>
    <xf numFmtId="0" fontId="5" fillId="0" borderId="0" xfId="0" applyFont="1" applyAlignment="1">
      <alignment wrapText="1"/>
    </xf>
    <xf numFmtId="0" fontId="5" fillId="0" borderId="0" xfId="0" applyFont="1" applyAlignment="1">
      <alignment horizontal="left" vertical="center" wrapText="1"/>
    </xf>
    <xf numFmtId="0" fontId="4" fillId="2" borderId="4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11" fillId="6" borderId="42" xfId="0" applyFont="1" applyFill="1" applyBorder="1" applyAlignment="1">
      <alignment horizontal="left" vertical="center" wrapText="1"/>
    </xf>
    <xf numFmtId="0" fontId="11" fillId="6" borderId="1" xfId="0" applyFont="1" applyFill="1" applyBorder="1" applyAlignment="1">
      <alignment horizontal="center" vertical="center" wrapText="1"/>
    </xf>
    <xf numFmtId="0" fontId="5" fillId="6" borderId="1" xfId="0" applyFont="1" applyFill="1" applyBorder="1" applyAlignment="1">
      <alignment horizontal="left" vertical="center" wrapText="1"/>
    </xf>
    <xf numFmtId="0" fontId="5" fillId="6" borderId="1" xfId="0" applyFont="1" applyFill="1" applyBorder="1" applyAlignment="1">
      <alignment horizontal="center" vertical="center" wrapText="1"/>
    </xf>
    <xf numFmtId="0" fontId="5" fillId="6" borderId="43" xfId="0" applyFont="1" applyFill="1" applyBorder="1" applyAlignment="1">
      <alignment horizontal="left" vertical="center" wrapText="1"/>
    </xf>
    <xf numFmtId="0" fontId="11" fillId="0" borderId="42" xfId="0" applyFont="1" applyBorder="1" applyAlignment="1">
      <alignment horizontal="left" vertical="center" wrapText="1"/>
    </xf>
    <xf numFmtId="0" fontId="11"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0" borderId="43" xfId="0" applyFont="1" applyBorder="1" applyAlignment="1">
      <alignment horizontal="left" vertical="center" wrapText="1"/>
    </xf>
    <xf numFmtId="0" fontId="11" fillId="6" borderId="1" xfId="0" applyFont="1" applyFill="1" applyBorder="1" applyAlignment="1">
      <alignment horizontal="left" vertical="center" wrapText="1"/>
    </xf>
    <xf numFmtId="0" fontId="3" fillId="2" borderId="0" xfId="0" applyFont="1" applyFill="1" applyBorder="1" applyAlignment="1"/>
    <xf numFmtId="0" fontId="2" fillId="0" borderId="0" xfId="0" applyFont="1" applyAlignment="1"/>
    <xf numFmtId="0" fontId="5" fillId="0" borderId="0" xfId="0" applyFont="1" applyAlignment="1">
      <alignment horizontal="left"/>
    </xf>
    <xf numFmtId="0" fontId="15" fillId="0" borderId="0" xfId="0" applyNumberFormat="1" applyFont="1" applyAlignment="1">
      <alignment horizontal="center"/>
    </xf>
    <xf numFmtId="0" fontId="15" fillId="0" borderId="0" xfId="0" applyFont="1" applyAlignment="1">
      <alignment horizontal="left"/>
    </xf>
    <xf numFmtId="0" fontId="0" fillId="0" borderId="0" xfId="0" pivotButton="1"/>
    <xf numFmtId="0" fontId="0" fillId="0" borderId="0" xfId="0" applyAlignment="1">
      <alignment horizontal="left"/>
    </xf>
    <xf numFmtId="0" fontId="0" fillId="0" borderId="0" xfId="0" applyNumberFormat="1"/>
    <xf numFmtId="0" fontId="0" fillId="11" borderId="14" xfId="0" applyFill="1" applyBorder="1"/>
    <xf numFmtId="0" fontId="0" fillId="11" borderId="15" xfId="0" applyFill="1" applyBorder="1"/>
    <xf numFmtId="0" fontId="0" fillId="11" borderId="16" xfId="0" applyFill="1" applyBorder="1"/>
    <xf numFmtId="0" fontId="0" fillId="11" borderId="17" xfId="0" applyFill="1" applyBorder="1"/>
    <xf numFmtId="0" fontId="0" fillId="11" borderId="0" xfId="0" applyFill="1" applyBorder="1"/>
    <xf numFmtId="0" fontId="0" fillId="11" borderId="44" xfId="0" applyFill="1" applyBorder="1"/>
    <xf numFmtId="0" fontId="0" fillId="11" borderId="18" xfId="0" applyFill="1" applyBorder="1"/>
    <xf numFmtId="0" fontId="0" fillId="11" borderId="45" xfId="0" applyFill="1" applyBorder="1"/>
    <xf numFmtId="0" fontId="0" fillId="11" borderId="46" xfId="0" applyFill="1" applyBorder="1"/>
    <xf numFmtId="164" fontId="0" fillId="0" borderId="0" xfId="0" applyNumberFormat="1"/>
    <xf numFmtId="0" fontId="16" fillId="0" borderId="9" xfId="0" applyFont="1" applyFill="1" applyBorder="1" applyAlignment="1">
      <alignment horizontal="center" vertical="center"/>
    </xf>
    <xf numFmtId="0" fontId="16" fillId="9" borderId="9" xfId="0" applyFont="1" applyFill="1" applyBorder="1" applyAlignment="1">
      <alignment horizontal="center" vertical="center"/>
    </xf>
    <xf numFmtId="0" fontId="8" fillId="0" borderId="12" xfId="0" applyFont="1" applyFill="1" applyBorder="1" applyAlignment="1">
      <alignment horizontal="center" vertical="center"/>
    </xf>
    <xf numFmtId="0" fontId="0" fillId="0" borderId="0" xfId="0"/>
    <xf numFmtId="0" fontId="17" fillId="0" borderId="9" xfId="0" applyFont="1" applyFill="1" applyBorder="1" applyAlignment="1">
      <alignment horizontal="center" vertical="center"/>
    </xf>
    <xf numFmtId="0" fontId="17" fillId="9" borderId="9" xfId="0" applyFont="1" applyFill="1" applyBorder="1" applyAlignment="1">
      <alignment horizontal="center" vertical="center"/>
    </xf>
    <xf numFmtId="0" fontId="17" fillId="0" borderId="12" xfId="0" applyFont="1" applyFill="1" applyBorder="1" applyAlignment="1">
      <alignment horizontal="center" vertical="center"/>
    </xf>
    <xf numFmtId="0" fontId="17" fillId="9" borderId="12" xfId="0" applyFont="1" applyFill="1" applyBorder="1" applyAlignment="1">
      <alignment horizontal="center" vertical="center"/>
    </xf>
    <xf numFmtId="0" fontId="18" fillId="0" borderId="9" xfId="0" applyFont="1" applyFill="1" applyBorder="1" applyAlignment="1">
      <alignment horizontal="center" vertical="center"/>
    </xf>
    <xf numFmtId="0" fontId="11" fillId="12" borderId="42" xfId="0" applyFont="1" applyFill="1" applyBorder="1" applyAlignment="1">
      <alignment horizontal="left" vertical="center" wrapText="1"/>
    </xf>
    <xf numFmtId="0" fontId="11" fillId="12" borderId="1" xfId="0" applyFont="1" applyFill="1" applyBorder="1" applyAlignment="1">
      <alignment horizontal="left" vertical="center" wrapText="1"/>
    </xf>
    <xf numFmtId="0" fontId="5" fillId="12" borderId="1" xfId="0" applyFont="1" applyFill="1" applyBorder="1" applyAlignment="1">
      <alignment horizontal="left" vertical="center" wrapText="1"/>
    </xf>
    <xf numFmtId="0" fontId="5" fillId="12" borderId="43" xfId="0" applyFont="1" applyFill="1" applyBorder="1" applyAlignment="1">
      <alignment horizontal="left" vertical="center" wrapText="1"/>
    </xf>
    <xf numFmtId="0" fontId="11" fillId="13" borderId="40" xfId="0" applyFont="1" applyFill="1" applyBorder="1" applyAlignment="1">
      <alignment horizontal="left" vertical="center" wrapText="1"/>
    </xf>
    <xf numFmtId="0" fontId="11" fillId="13" borderId="13" xfId="0" applyFont="1" applyFill="1" applyBorder="1" applyAlignment="1">
      <alignment horizontal="left" vertical="center" wrapText="1"/>
    </xf>
    <xf numFmtId="0" fontId="5" fillId="13" borderId="13" xfId="0" applyFont="1" applyFill="1" applyBorder="1" applyAlignment="1">
      <alignment horizontal="left" vertical="center" wrapText="1"/>
    </xf>
    <xf numFmtId="0" fontId="5" fillId="13" borderId="13" xfId="0" applyFont="1" applyFill="1" applyBorder="1" applyAlignment="1">
      <alignment horizontal="center" vertical="center" wrapText="1"/>
    </xf>
    <xf numFmtId="0" fontId="5" fillId="13" borderId="41" xfId="0" applyFont="1" applyFill="1" applyBorder="1" applyAlignment="1">
      <alignment horizontal="left" vertical="center" wrapText="1"/>
    </xf>
    <xf numFmtId="0" fontId="5" fillId="6" borderId="23" xfId="0" applyFont="1" applyFill="1" applyBorder="1" applyAlignment="1">
      <alignment horizontal="center"/>
    </xf>
    <xf numFmtId="0" fontId="19" fillId="14" borderId="47" xfId="0" applyFont="1" applyFill="1" applyBorder="1" applyAlignment="1">
      <alignment horizontal="center" vertical="center"/>
    </xf>
    <xf numFmtId="0" fontId="19" fillId="0" borderId="48" xfId="0" applyFont="1" applyBorder="1" applyAlignment="1">
      <alignment horizontal="center" vertical="center"/>
    </xf>
    <xf numFmtId="0" fontId="19" fillId="0" borderId="49" xfId="0" applyFont="1" applyBorder="1" applyAlignment="1">
      <alignment horizontal="center" vertical="center"/>
    </xf>
    <xf numFmtId="0" fontId="19" fillId="0" borderId="50" xfId="0" applyFont="1" applyBorder="1" applyAlignment="1">
      <alignment horizontal="center" vertical="center"/>
    </xf>
    <xf numFmtId="0" fontId="19" fillId="14" borderId="51" xfId="0" applyFont="1" applyFill="1" applyBorder="1" applyAlignment="1">
      <alignment horizontal="center" vertical="center"/>
    </xf>
    <xf numFmtId="0" fontId="19" fillId="14" borderId="52" xfId="0" applyFont="1" applyFill="1" applyBorder="1" applyAlignment="1">
      <alignment horizontal="center" vertical="center"/>
    </xf>
    <xf numFmtId="0" fontId="19" fillId="0" borderId="47" xfId="0" applyFont="1" applyBorder="1" applyAlignment="1">
      <alignment horizontal="center" vertical="center"/>
    </xf>
    <xf numFmtId="0" fontId="19" fillId="0" borderId="51" xfId="0" applyFont="1" applyBorder="1" applyAlignment="1">
      <alignment horizontal="center" vertical="center"/>
    </xf>
    <xf numFmtId="0" fontId="19" fillId="0" borderId="52" xfId="0" applyFont="1" applyBorder="1" applyAlignment="1">
      <alignment horizontal="center" vertical="center"/>
    </xf>
    <xf numFmtId="0" fontId="20" fillId="15" borderId="53" xfId="0" applyFont="1" applyFill="1" applyBorder="1" applyAlignment="1">
      <alignment horizontal="center" vertical="center" wrapText="1"/>
    </xf>
    <xf numFmtId="0" fontId="20" fillId="15" borderId="0" xfId="0" applyFont="1" applyFill="1" applyAlignment="1">
      <alignment horizontal="center" vertical="center" wrapText="1"/>
    </xf>
    <xf numFmtId="0" fontId="20" fillId="15" borderId="47" xfId="0" applyFont="1" applyFill="1" applyBorder="1" applyAlignment="1">
      <alignment horizontal="center" vertical="center" wrapText="1"/>
    </xf>
    <xf numFmtId="0" fontId="20" fillId="15" borderId="51" xfId="0" applyFont="1" applyFill="1" applyBorder="1" applyAlignment="1">
      <alignment horizontal="center" vertical="center" wrapText="1"/>
    </xf>
    <xf numFmtId="0" fontId="20" fillId="15" borderId="52" xfId="0" applyFont="1" applyFill="1" applyBorder="1" applyAlignment="1">
      <alignment horizontal="center" vertical="center"/>
    </xf>
    <xf numFmtId="0" fontId="20" fillId="15" borderId="54" xfId="0" applyFont="1" applyFill="1" applyBorder="1" applyAlignment="1">
      <alignment horizontal="center" vertical="center"/>
    </xf>
    <xf numFmtId="0" fontId="4" fillId="2" borderId="38" xfId="0" applyFont="1" applyFill="1" applyBorder="1" applyAlignment="1"/>
    <xf numFmtId="0" fontId="0" fillId="0" borderId="39" xfId="0" applyBorder="1" applyAlignment="1"/>
    <xf numFmtId="0" fontId="7" fillId="2" borderId="28" xfId="0" applyFont="1" applyFill="1" applyBorder="1" applyAlignment="1">
      <alignment horizontal="center"/>
    </xf>
    <xf numFmtId="0" fontId="0" fillId="0" borderId="30" xfId="0" applyBorder="1" applyAlignment="1">
      <alignment horizontal="center"/>
    </xf>
    <xf numFmtId="0" fontId="5" fillId="6" borderId="4" xfId="0" applyFont="1" applyFill="1" applyBorder="1" applyAlignment="1">
      <alignment horizontal="center"/>
    </xf>
    <xf numFmtId="0" fontId="5" fillId="6" borderId="3" xfId="0" applyFont="1" applyFill="1" applyBorder="1" applyAlignment="1">
      <alignment horizontal="center"/>
    </xf>
    <xf numFmtId="0" fontId="5" fillId="0" borderId="4" xfId="0" applyFont="1" applyFill="1" applyBorder="1" applyAlignment="1">
      <alignment horizontal="center"/>
    </xf>
    <xf numFmtId="0" fontId="5" fillId="0" borderId="3" xfId="0" applyFont="1" applyFill="1" applyBorder="1" applyAlignment="1">
      <alignment horizontal="center"/>
    </xf>
    <xf numFmtId="0" fontId="5" fillId="6" borderId="40" xfId="0" applyFont="1" applyFill="1" applyBorder="1" applyAlignment="1">
      <alignment horizontal="left" vertical="center" wrapText="1"/>
    </xf>
    <xf numFmtId="0" fontId="0" fillId="0" borderId="13" xfId="0" applyBorder="1" applyAlignment="1">
      <alignment horizontal="left" vertical="center" wrapText="1"/>
    </xf>
    <xf numFmtId="0" fontId="0" fillId="0" borderId="41" xfId="0" applyBorder="1" applyAlignment="1">
      <alignment horizontal="left" vertical="center" wrapText="1"/>
    </xf>
    <xf numFmtId="0" fontId="4" fillId="2" borderId="40" xfId="0" applyFont="1" applyFill="1" applyBorder="1" applyAlignment="1">
      <alignment wrapText="1"/>
    </xf>
    <xf numFmtId="0" fontId="0" fillId="0" borderId="13" xfId="0" applyBorder="1" applyAlignment="1">
      <alignment wrapText="1"/>
    </xf>
    <xf numFmtId="0" fontId="0" fillId="0" borderId="41" xfId="0" applyBorder="1" applyAlignment="1">
      <alignment wrapText="1"/>
    </xf>
  </cellXfs>
  <cellStyles count="1">
    <cellStyle name="Normal" xfId="0" builtinId="0"/>
  </cellStyles>
  <dxfs count="302">
    <dxf>
      <font>
        <b val="0"/>
        <i val="0"/>
        <strike val="0"/>
        <condense val="0"/>
        <extend val="0"/>
        <outline val="0"/>
        <shadow val="0"/>
        <u val="none"/>
        <vertAlign val="baseline"/>
        <sz val="9"/>
        <color theme="1"/>
        <name val="Calibri"/>
        <scheme val="minor"/>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9"/>
        <color theme="1"/>
        <name val="Calibri"/>
        <scheme val="minor"/>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9"/>
        <color theme="1"/>
        <name val="Calibri"/>
        <scheme val="minor"/>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9"/>
        <color theme="1"/>
        <name val="Calibri"/>
        <scheme val="minor"/>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9"/>
        <color theme="1"/>
        <name val="Calibri"/>
        <scheme val="minor"/>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9"/>
        <color theme="1"/>
        <name val="Calibri"/>
        <scheme val="minor"/>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9"/>
        <color theme="1"/>
        <name val="Calibri"/>
        <scheme val="minor"/>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border diagonalUp="0" diagonalDown="0" outline="0">
        <left/>
        <right/>
        <top style="thin">
          <color theme="4" tint="0.39997558519241921"/>
        </top>
        <bottom/>
      </border>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alignment horizontal="left" vertical="bottom" textRotation="0" wrapText="0" indent="0" justifyLastLine="0" shrinkToFit="0" readingOrder="0"/>
    </dxf>
    <dxf>
      <font>
        <strike val="0"/>
        <outline val="0"/>
        <shadow val="0"/>
        <u val="none"/>
        <vertAlign val="baseline"/>
        <sz val="10"/>
        <name val="Calibri"/>
        <scheme val="minor"/>
      </font>
    </dxf>
    <dxf>
      <font>
        <strike val="0"/>
        <outline val="0"/>
        <shadow val="0"/>
        <u val="none"/>
        <vertAlign val="baseline"/>
        <sz val="10"/>
        <name val="Calibri"/>
        <scheme val="minor"/>
      </font>
    </dxf>
    <dxf>
      <font>
        <b val="0"/>
        <i val="0"/>
        <strike val="0"/>
        <condense val="0"/>
        <extend val="0"/>
        <outline val="0"/>
        <shadow val="0"/>
        <u val="none"/>
        <vertAlign val="baseline"/>
        <sz val="10"/>
        <color theme="1"/>
        <name val="Calibri"/>
        <scheme val="minor"/>
      </font>
      <fill>
        <patternFill patternType="solid">
          <fgColor theme="4" tint="0.79998168889431442"/>
          <bgColor theme="4" tint="0.79998168889431442"/>
        </patternFill>
      </fill>
      <alignment horizontal="center" vertical="bottom"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0"/>
        <color theme="1"/>
        <name val="Calibri"/>
        <scheme val="minor"/>
      </font>
      <fill>
        <patternFill patternType="solid">
          <fgColor theme="4" tint="0.79998168889431442"/>
          <bgColor theme="4"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0"/>
        <color theme="1"/>
        <name val="Calibri"/>
        <scheme val="minor"/>
      </font>
      <fill>
        <patternFill patternType="solid">
          <fgColor theme="4" tint="0.79998168889431442"/>
          <bgColor theme="4" tint="0.79998168889431442"/>
        </patternFill>
      </fill>
      <border diagonalUp="0" diagonalDown="0" outline="0">
        <left/>
        <right/>
        <top style="thin">
          <color theme="4" tint="0.39997558519241921"/>
        </top>
        <bottom/>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strike val="0"/>
        <outline val="0"/>
        <shadow val="0"/>
        <u val="none"/>
        <vertAlign val="baseline"/>
        <sz val="10"/>
        <name val="Calibri"/>
        <scheme val="minor"/>
      </font>
    </dxf>
    <dxf>
      <font>
        <strike val="0"/>
        <outline val="0"/>
        <shadow val="0"/>
        <u val="none"/>
        <vertAlign val="baseline"/>
        <sz val="10"/>
        <name val="Calibri"/>
        <scheme val="minor"/>
      </font>
      <alignment horizontal="general" vertical="bottom" textRotation="0" wrapText="0" indent="0" justifyLastLine="0" shrinkToFit="0" readingOrder="0"/>
    </dxf>
    <dxf>
      <font>
        <strike val="0"/>
        <outline val="0"/>
        <shadow val="0"/>
        <u val="none"/>
        <vertAlign val="baseline"/>
        <sz val="9"/>
        <color theme="1"/>
        <name val="Calibri"/>
        <scheme val="minor"/>
      </font>
      <alignment horizontal="general" vertical="bottom" textRotation="0" wrapText="1" indent="0" justifyLastLine="0" shrinkToFit="0" readingOrder="0"/>
    </dxf>
    <dxf>
      <font>
        <strike val="0"/>
        <outline val="0"/>
        <shadow val="0"/>
        <u val="none"/>
        <vertAlign val="baseline"/>
        <sz val="9"/>
        <color theme="1"/>
        <name val="Calibri"/>
        <scheme val="minor"/>
      </font>
      <alignment horizontal="general" vertical="bottom" textRotation="0" wrapText="1" indent="0" justifyLastLine="0" shrinkToFit="0" readingOrder="0"/>
    </dxf>
    <dxf>
      <font>
        <strike val="0"/>
        <outline val="0"/>
        <shadow val="0"/>
        <u val="none"/>
        <vertAlign val="baseline"/>
        <sz val="9"/>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solid">
          <fgColor indexed="64"/>
          <bgColor theme="0" tint="-0.249977111117893"/>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theme="1"/>
        <name val="Calibri"/>
        <scheme val="minor"/>
      </font>
      <fill>
        <patternFill patternType="solid">
          <fgColor indexed="64"/>
          <bgColor rgb="FFFFC000"/>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solid">
          <fgColor indexed="64"/>
          <bgColor rgb="FFFFC000"/>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theme="1"/>
        <name val="Calibri"/>
        <scheme val="minor"/>
      </font>
      <numFmt numFmtId="1" formatCode="0"/>
      <fill>
        <patternFill patternType="solid">
          <fgColor indexed="64"/>
          <bgColor theme="0" tint="-0.249977111117893"/>
        </patternFill>
      </fill>
      <alignment horizontal="center" vertical="center" textRotation="0" wrapText="0" indent="0" justifyLastLine="0" shrinkToFit="0" readingOrder="0"/>
      <border diagonalUp="0" diagonalDown="0">
        <left style="thin">
          <color indexed="64"/>
        </left>
        <right/>
        <top style="thin">
          <color indexed="64"/>
        </top>
        <bottom/>
      </border>
    </dxf>
    <dxf>
      <font>
        <b val="0"/>
        <i val="0"/>
        <strike val="0"/>
        <condense val="0"/>
        <extend val="0"/>
        <outline val="0"/>
        <shadow val="0"/>
        <u val="none"/>
        <vertAlign val="baseline"/>
        <sz val="10"/>
        <color theme="1"/>
        <name val="Calibri"/>
        <scheme val="minor"/>
      </font>
      <numFmt numFmtId="1" formatCode="0"/>
      <fill>
        <patternFill patternType="solid">
          <fgColor indexed="64"/>
          <bgColor theme="0" tint="-0.249977111117893"/>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0.249977111117893"/>
        </patternFill>
      </fill>
      <alignment horizontal="center" vertical="center" textRotation="0" wrapText="0" indent="0" justifyLastLine="0" shrinkToFit="0" readingOrder="0"/>
      <border diagonalUp="0" diagonalDown="0">
        <left/>
        <right style="thin">
          <color indexed="64"/>
        </right>
        <top style="thin">
          <color indexed="64"/>
        </top>
        <bottom/>
      </border>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0.249977111117893"/>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border diagonalUp="0" diagonalDown="0" outline="0">
        <left/>
        <right/>
        <top style="thin">
          <color indexed="64"/>
        </top>
        <bottom/>
      </border>
    </dxf>
    <dxf>
      <border outline="0">
        <top style="thin">
          <color rgb="FF000000"/>
        </top>
      </border>
    </dxf>
    <dxf>
      <font>
        <b val="0"/>
        <i val="0"/>
        <strike val="0"/>
        <condense val="0"/>
        <extend val="0"/>
        <outline val="0"/>
        <shadow val="0"/>
        <u val="none"/>
        <vertAlign val="baseline"/>
        <sz val="10"/>
        <color rgb="FF000000"/>
        <name val="Calibri"/>
        <scheme val="none"/>
      </font>
      <fill>
        <patternFill patternType="none">
          <fgColor rgb="FF000000"/>
          <bgColor rgb="FFFFFFFF"/>
        </patternFill>
      </fill>
      <alignment horizontal="center" vertical="center" textRotation="0" wrapText="0" indent="0" justifyLastLine="0" shrinkToFit="0" readingOrder="0"/>
    </dxf>
    <dxf>
      <font>
        <b/>
        <i val="0"/>
        <strike val="0"/>
        <condense val="0"/>
        <extend val="0"/>
        <outline val="0"/>
        <shadow val="0"/>
        <u val="none"/>
        <vertAlign val="baseline"/>
        <sz val="10"/>
        <color theme="0"/>
        <name val="Calibri"/>
        <scheme val="minor"/>
      </font>
      <fill>
        <patternFill patternType="solid">
          <fgColor indexed="64"/>
          <bgColor theme="0" tint="-0.249977111117893"/>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solid">
          <fgColor indexed="64"/>
          <bgColor theme="0" tint="-0.249977111117893"/>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theme="1"/>
        <name val="Calibri"/>
        <scheme val="minor"/>
      </font>
      <fill>
        <patternFill patternType="solid">
          <fgColor indexed="64"/>
          <bgColor rgb="FFFFC000"/>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solid">
          <fgColor indexed="64"/>
          <bgColor rgb="FFFFC000"/>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Calibri"/>
        <scheme val="minor"/>
      </font>
      <numFmt numFmtId="1" formatCode="0"/>
      <fill>
        <patternFill patternType="solid">
          <fgColor indexed="64"/>
          <bgColor theme="0" tint="-0.249977111117893"/>
        </patternFill>
      </fill>
      <alignment horizontal="center" vertical="center" textRotation="0" wrapText="0" indent="0" justifyLastLine="0" shrinkToFit="0" readingOrder="0"/>
      <border diagonalUp="0" diagonalDown="0">
        <left style="thin">
          <color indexed="64"/>
        </left>
        <right/>
        <top style="thin">
          <color indexed="64"/>
        </top>
        <bottom/>
      </border>
    </dxf>
    <dxf>
      <font>
        <b val="0"/>
        <i val="0"/>
        <strike val="0"/>
        <condense val="0"/>
        <extend val="0"/>
        <outline val="0"/>
        <shadow val="0"/>
        <u val="none"/>
        <vertAlign val="baseline"/>
        <sz val="10"/>
        <color theme="1"/>
        <name val="Calibri"/>
        <scheme val="minor"/>
      </font>
      <numFmt numFmtId="1" formatCode="0"/>
      <fill>
        <patternFill patternType="solid">
          <fgColor indexed="64"/>
          <bgColor theme="0" tint="-0.249977111117893"/>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0.249977111117893"/>
        </patternFill>
      </fill>
      <alignment horizontal="center" vertical="center" textRotation="0" wrapText="0" indent="0" justifyLastLine="0" shrinkToFit="0" readingOrder="0"/>
      <border diagonalUp="0" diagonalDown="0">
        <left/>
        <right style="thin">
          <color indexed="64"/>
        </right>
        <top style="thin">
          <color indexed="64"/>
        </top>
        <bottom/>
      </border>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0.249977111117893"/>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border diagonalUp="0" diagonalDown="0" outline="0">
        <left/>
        <right/>
        <top style="thin">
          <color indexed="64"/>
        </top>
        <bottom/>
      </border>
    </dxf>
    <dxf>
      <border outline="0">
        <top style="thin">
          <color rgb="FF000000"/>
        </top>
      </border>
    </dxf>
    <dxf>
      <font>
        <b val="0"/>
        <i val="0"/>
        <strike val="0"/>
        <condense val="0"/>
        <extend val="0"/>
        <outline val="0"/>
        <shadow val="0"/>
        <u val="none"/>
        <vertAlign val="baseline"/>
        <sz val="10"/>
        <color rgb="FF000000"/>
        <name val="Calibri"/>
        <scheme val="none"/>
      </font>
      <fill>
        <patternFill patternType="none">
          <fgColor rgb="FF000000"/>
          <bgColor rgb="FFFFFFFF"/>
        </patternFill>
      </fill>
      <alignment horizontal="center" vertical="center" textRotation="0" wrapText="0" indent="0" justifyLastLine="0" shrinkToFit="0" readingOrder="0"/>
    </dxf>
    <dxf>
      <font>
        <b/>
        <i val="0"/>
        <strike val="0"/>
        <condense val="0"/>
        <extend val="0"/>
        <outline val="0"/>
        <shadow val="0"/>
        <u val="none"/>
        <vertAlign val="baseline"/>
        <sz val="10"/>
        <color theme="0"/>
        <name val="Calibri"/>
        <scheme val="minor"/>
      </font>
      <fill>
        <patternFill patternType="solid">
          <fgColor indexed="64"/>
          <bgColor theme="0" tint="-0.249977111117893"/>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solid">
          <fgColor indexed="64"/>
          <bgColor theme="0" tint="-0.249977111117893"/>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theme="1"/>
        <name val="Calibri"/>
        <scheme val="minor"/>
      </font>
      <fill>
        <patternFill patternType="solid">
          <fgColor indexed="64"/>
          <bgColor rgb="FFFFC000"/>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solid">
          <fgColor indexed="64"/>
          <bgColor rgb="FFFFC000"/>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theme="1"/>
        <name val="Calibri"/>
        <scheme val="minor"/>
      </font>
      <numFmt numFmtId="1" formatCode="0"/>
      <fill>
        <patternFill patternType="solid">
          <fgColor indexed="64"/>
          <bgColor theme="0" tint="-0.249977111117893"/>
        </patternFill>
      </fill>
      <alignment horizontal="center" vertical="center" textRotation="0" wrapText="0" indent="0" justifyLastLine="0" shrinkToFit="0" readingOrder="0"/>
      <border diagonalUp="0" diagonalDown="0">
        <left style="thin">
          <color indexed="64"/>
        </left>
        <right/>
        <top style="thin">
          <color indexed="64"/>
        </top>
        <bottom/>
      </border>
    </dxf>
    <dxf>
      <font>
        <b val="0"/>
        <i val="0"/>
        <strike val="0"/>
        <condense val="0"/>
        <extend val="0"/>
        <outline val="0"/>
        <shadow val="0"/>
        <u val="none"/>
        <vertAlign val="baseline"/>
        <sz val="10"/>
        <color theme="1"/>
        <name val="Calibri"/>
        <scheme val="minor"/>
      </font>
      <numFmt numFmtId="1" formatCode="0"/>
      <fill>
        <patternFill patternType="solid">
          <fgColor indexed="64"/>
          <bgColor theme="0" tint="-0.249977111117893"/>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0.249977111117893"/>
        </patternFill>
      </fill>
      <alignment horizontal="center" vertical="center" textRotation="0" wrapText="0" indent="0" justifyLastLine="0" shrinkToFit="0" readingOrder="0"/>
      <border diagonalUp="0" diagonalDown="0">
        <left/>
        <right style="thin">
          <color indexed="64"/>
        </right>
        <top style="thin">
          <color indexed="64"/>
        </top>
        <bottom/>
      </border>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0.249977111117893"/>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border diagonalUp="0" diagonalDown="0" outline="0">
        <left/>
        <right/>
        <top style="thin">
          <color indexed="64"/>
        </top>
        <bottom/>
      </border>
    </dxf>
    <dxf>
      <border outline="0">
        <top style="thin">
          <color rgb="FF000000"/>
        </top>
      </border>
    </dxf>
    <dxf>
      <font>
        <b val="0"/>
        <i val="0"/>
        <strike val="0"/>
        <condense val="0"/>
        <extend val="0"/>
        <outline val="0"/>
        <shadow val="0"/>
        <u val="none"/>
        <vertAlign val="baseline"/>
        <sz val="10"/>
        <color rgb="FF000000"/>
        <name val="Calibri"/>
        <scheme val="none"/>
      </font>
      <fill>
        <patternFill patternType="none">
          <fgColor rgb="FF000000"/>
          <bgColor rgb="FFFFFFFF"/>
        </patternFill>
      </fill>
      <alignment horizontal="center" vertical="center" textRotation="0" wrapText="0" indent="0" justifyLastLine="0" shrinkToFit="0" readingOrder="0"/>
    </dxf>
    <dxf>
      <font>
        <b/>
        <i val="0"/>
        <strike val="0"/>
        <condense val="0"/>
        <extend val="0"/>
        <outline val="0"/>
        <shadow val="0"/>
        <u val="none"/>
        <vertAlign val="baseline"/>
        <sz val="10"/>
        <color theme="0"/>
        <name val="Calibri"/>
        <scheme val="minor"/>
      </font>
      <fill>
        <patternFill patternType="solid">
          <fgColor indexed="64"/>
          <bgColor theme="0" tint="-0.249977111117893"/>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solid">
          <fgColor indexed="64"/>
          <bgColor theme="0" tint="-0.249977111117893"/>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theme="1"/>
        <name val="Calibri"/>
        <scheme val="minor"/>
      </font>
      <fill>
        <patternFill patternType="solid">
          <fgColor indexed="64"/>
          <bgColor rgb="FFFFC000"/>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solid">
          <fgColor indexed="64"/>
          <bgColor rgb="FFFFC000"/>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theme="1"/>
        <name val="Calibri"/>
        <scheme val="minor"/>
      </font>
      <numFmt numFmtId="1" formatCode="0"/>
      <fill>
        <patternFill patternType="solid">
          <fgColor indexed="64"/>
          <bgColor theme="0" tint="-0.249977111117893"/>
        </patternFill>
      </fill>
      <alignment horizontal="center" vertical="center" textRotation="0" wrapText="0" indent="0" justifyLastLine="0" shrinkToFit="0" readingOrder="0"/>
      <border diagonalUp="0" diagonalDown="0">
        <left style="thin">
          <color indexed="64"/>
        </left>
        <right/>
        <top style="thin">
          <color indexed="64"/>
        </top>
        <bottom/>
      </border>
    </dxf>
    <dxf>
      <font>
        <b val="0"/>
        <i val="0"/>
        <strike val="0"/>
        <condense val="0"/>
        <extend val="0"/>
        <outline val="0"/>
        <shadow val="0"/>
        <u val="none"/>
        <vertAlign val="baseline"/>
        <sz val="10"/>
        <color theme="1"/>
        <name val="Calibri"/>
        <scheme val="minor"/>
      </font>
      <numFmt numFmtId="1" formatCode="0"/>
      <fill>
        <patternFill patternType="solid">
          <fgColor indexed="64"/>
          <bgColor theme="0" tint="-0.249977111117893"/>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0.249977111117893"/>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0.249977111117893"/>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border diagonalUp="0" diagonalDown="0" outline="0">
        <left/>
        <right/>
        <top style="thin">
          <color indexed="64"/>
        </top>
        <bottom/>
      </border>
    </dxf>
    <dxf>
      <border outline="0">
        <top style="thin">
          <color rgb="FF000000"/>
        </top>
      </border>
    </dxf>
    <dxf>
      <font>
        <b val="0"/>
        <i val="0"/>
        <strike val="0"/>
        <condense val="0"/>
        <extend val="0"/>
        <outline val="0"/>
        <shadow val="0"/>
        <u val="none"/>
        <vertAlign val="baseline"/>
        <sz val="10"/>
        <color rgb="FF000000"/>
        <name val="Calibri"/>
        <scheme val="none"/>
      </font>
      <fill>
        <patternFill patternType="none">
          <fgColor rgb="FF000000"/>
          <bgColor rgb="FFFFFFFF"/>
        </patternFill>
      </fill>
      <alignment horizontal="center" vertical="center" textRotation="0" wrapText="0" indent="0" justifyLastLine="0" shrinkToFit="0" readingOrder="0"/>
    </dxf>
    <dxf>
      <font>
        <b/>
        <i val="0"/>
        <strike val="0"/>
        <condense val="0"/>
        <extend val="0"/>
        <outline val="0"/>
        <shadow val="0"/>
        <u val="none"/>
        <vertAlign val="baseline"/>
        <sz val="10"/>
        <color theme="0"/>
        <name val="Calibri"/>
        <scheme val="minor"/>
      </font>
      <fill>
        <patternFill patternType="solid">
          <fgColor indexed="64"/>
          <bgColor theme="0" tint="-0.249977111117893"/>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theme="1"/>
        <name val="Calibri"/>
        <scheme val="minor"/>
      </font>
      <fill>
        <patternFill patternType="solid">
          <fgColor indexed="64"/>
          <bgColor rgb="FFFFC000"/>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theme="1"/>
        <name val="Calibri"/>
        <scheme val="minor"/>
      </font>
      <fill>
        <patternFill patternType="solid">
          <fgColor indexed="64"/>
          <bgColor rgb="FFFFC000"/>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theme="1"/>
        <name val="Calibri"/>
        <scheme val="minor"/>
      </font>
      <fill>
        <patternFill patternType="solid">
          <fgColor indexed="64"/>
          <bgColor theme="0" tint="-0.249977111117893"/>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0.249977111117893"/>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0.249977111117893"/>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0.249977111117893"/>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0.249977111117893"/>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solid">
          <fgColor indexed="64"/>
          <bgColor theme="5" tint="0.59999389629810485"/>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solid">
          <fgColor indexed="64"/>
          <bgColor theme="5" tint="0.59999389629810485"/>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solid">
          <fgColor indexed="64"/>
          <bgColor theme="5" tint="0.59999389629810485"/>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border diagonalUp="0" diagonalDown="0" outline="0">
        <left/>
        <right style="thin">
          <color indexed="64"/>
        </right>
        <top style="thin">
          <color indexed="64"/>
        </top>
        <bottom/>
      </border>
    </dxf>
    <dxf>
      <border outline="0">
        <top style="thin">
          <color rgb="FF000000"/>
        </top>
      </border>
    </dxf>
    <dxf>
      <font>
        <b val="0"/>
        <i val="0"/>
        <strike val="0"/>
        <condense val="0"/>
        <extend val="0"/>
        <outline val="0"/>
        <shadow val="0"/>
        <u val="none"/>
        <vertAlign val="baseline"/>
        <sz val="10"/>
        <color rgb="FF000000"/>
        <name val="Calibri"/>
        <scheme val="none"/>
      </font>
      <fill>
        <patternFill patternType="none">
          <fgColor rgb="FF000000"/>
          <bgColor rgb="FFFFFFFF"/>
        </patternFill>
      </fill>
      <alignment horizontal="center" vertical="center" textRotation="0" wrapText="0" indent="0" justifyLastLine="0" shrinkToFit="0" readingOrder="0"/>
    </dxf>
    <dxf>
      <font>
        <b/>
        <i val="0"/>
        <strike val="0"/>
        <condense val="0"/>
        <extend val="0"/>
        <outline val="0"/>
        <shadow val="0"/>
        <u val="none"/>
        <vertAlign val="baseline"/>
        <sz val="10"/>
        <color theme="0"/>
        <name val="Calibri"/>
        <scheme val="minor"/>
      </font>
      <fill>
        <patternFill patternType="solid">
          <fgColor indexed="64"/>
          <bgColor theme="0" tint="-0.249977111117893"/>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theme="1"/>
        <name val="Calibri"/>
        <scheme val="minor"/>
      </font>
      <fill>
        <patternFill patternType="solid">
          <fgColor indexed="64"/>
          <bgColor rgb="FFFFC000"/>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Calibri"/>
        <scheme val="minor"/>
      </font>
      <fill>
        <patternFill patternType="solid">
          <fgColor indexed="64"/>
          <bgColor rgb="FFFFC000"/>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theme="1"/>
        <name val="Calibri"/>
        <scheme val="minor"/>
      </font>
      <fill>
        <patternFill patternType="solid">
          <fgColor indexed="64"/>
          <bgColor theme="0" tint="-0.249977111117893"/>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0.249977111117893"/>
        </patternFill>
      </fill>
      <alignment horizontal="center" vertical="center" textRotation="0" wrapText="0" indent="0" justifyLastLine="0" shrinkToFit="0" readingOrder="0"/>
      <border diagonalUp="0" diagonalDown="0">
        <left/>
        <right style="thin">
          <color indexed="64"/>
        </right>
        <top style="thin">
          <color indexed="64"/>
        </top>
        <bottom/>
      </border>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0.249977111117893"/>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0.249977111117893"/>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0.249977111117893"/>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border diagonalUp="0" diagonalDown="0" outline="0">
        <left/>
        <right/>
        <top style="thin">
          <color indexed="64"/>
        </top>
        <bottom/>
      </border>
    </dxf>
    <dxf>
      <border outline="0">
        <top style="thin">
          <color rgb="FF000000"/>
        </top>
      </border>
    </dxf>
    <dxf>
      <font>
        <b val="0"/>
        <i val="0"/>
        <strike val="0"/>
        <condense val="0"/>
        <extend val="0"/>
        <outline val="0"/>
        <shadow val="0"/>
        <u val="none"/>
        <vertAlign val="baseline"/>
        <sz val="10"/>
        <color rgb="FF000000"/>
        <name val="Calibri"/>
        <scheme val="none"/>
      </font>
      <fill>
        <patternFill patternType="none">
          <fgColor rgb="FF000000"/>
          <bgColor rgb="FFFFFFFF"/>
        </patternFill>
      </fill>
      <alignment horizontal="center" vertical="center" textRotation="0" wrapText="0" indent="0" justifyLastLine="0" shrinkToFit="0" readingOrder="0"/>
    </dxf>
    <dxf>
      <font>
        <b/>
        <i val="0"/>
        <strike val="0"/>
        <condense val="0"/>
        <extend val="0"/>
        <outline val="0"/>
        <shadow val="0"/>
        <u val="none"/>
        <vertAlign val="baseline"/>
        <sz val="10"/>
        <color theme="0"/>
        <name val="Calibri"/>
        <scheme val="minor"/>
      </font>
      <fill>
        <patternFill patternType="solid">
          <fgColor indexed="64"/>
          <bgColor theme="0" tint="-0.249977111117893"/>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theme="1"/>
        <name val="Calibri"/>
        <scheme val="minor"/>
      </font>
      <fill>
        <patternFill patternType="solid">
          <fgColor indexed="64"/>
          <bgColor rgb="FFFFC000"/>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theme="1"/>
        <name val="Calibri"/>
        <scheme val="minor"/>
      </font>
      <fill>
        <patternFill patternType="solid">
          <fgColor indexed="64"/>
          <bgColor rgb="FFFFC000"/>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0.249977111117893"/>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Calibri"/>
        <scheme val="minor"/>
      </font>
      <fill>
        <patternFill patternType="solid">
          <fgColor indexed="64"/>
          <bgColor theme="0" tint="-0.249977111117893"/>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0.249977111117893"/>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0.249977111117893"/>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0.249977111117893"/>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border diagonalUp="0" diagonalDown="0" outline="0">
        <left/>
        <right/>
        <top style="thin">
          <color indexed="64"/>
        </top>
        <bottom/>
      </border>
    </dxf>
    <dxf>
      <border outline="0">
        <top style="thin">
          <color rgb="FF000000"/>
        </top>
      </border>
    </dxf>
    <dxf>
      <font>
        <b val="0"/>
        <i val="0"/>
        <strike val="0"/>
        <condense val="0"/>
        <extend val="0"/>
        <outline val="0"/>
        <shadow val="0"/>
        <u val="none"/>
        <vertAlign val="baseline"/>
        <sz val="10"/>
        <color rgb="FF000000"/>
        <name val="Calibri"/>
        <scheme val="none"/>
      </font>
      <fill>
        <patternFill patternType="none">
          <fgColor rgb="FF000000"/>
          <bgColor rgb="FFFFFFFF"/>
        </patternFill>
      </fill>
      <alignment horizontal="center" vertical="center" textRotation="0" wrapText="0" indent="0" justifyLastLine="0" shrinkToFit="0" readingOrder="0"/>
    </dxf>
    <dxf>
      <font>
        <b/>
        <i val="0"/>
        <strike val="0"/>
        <condense val="0"/>
        <extend val="0"/>
        <outline val="0"/>
        <shadow val="0"/>
        <u val="none"/>
        <vertAlign val="baseline"/>
        <sz val="10"/>
        <color theme="0"/>
        <name val="Calibri"/>
        <scheme val="minor"/>
      </font>
      <fill>
        <patternFill patternType="solid">
          <fgColor indexed="64"/>
          <bgColor theme="0" tint="-0.249977111117893"/>
        </patternFill>
      </fill>
      <alignment horizontal="left" vertical="center" textRotation="0" wrapText="0" indent="0" justifyLastLine="0" shrinkToFit="0" readingOrder="0"/>
    </dxf>
    <dxf>
      <font>
        <strike val="0"/>
        <outline val="0"/>
        <shadow val="0"/>
        <u val="none"/>
        <vertAlign val="baseline"/>
        <sz val="10"/>
        <color theme="1"/>
        <name val="Calibri"/>
        <scheme val="minor"/>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border>
    </dxf>
    <dxf>
      <font>
        <strike val="0"/>
        <outline val="0"/>
        <shadow val="0"/>
        <u val="none"/>
        <vertAlign val="baseline"/>
        <sz val="10"/>
        <color theme="1"/>
        <name val="Calibri"/>
        <scheme val="minor"/>
      </font>
      <numFmt numFmtId="0" formatCode="General"/>
      <fill>
        <patternFill patternType="solid">
          <fgColor indexed="64"/>
          <bgColor theme="0" tint="-0.249977111117893"/>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theme="1"/>
        <name val="Calibri"/>
        <scheme val="minor"/>
      </font>
      <numFmt numFmtId="0" formatCode="General"/>
      <fill>
        <patternFill patternType="solid">
          <fgColor indexed="64"/>
          <bgColor theme="0" tint="-0.249977111117893"/>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scheme val="minor"/>
      </font>
      <numFmt numFmtId="0" formatCode="General"/>
      <fill>
        <patternFill patternType="solid">
          <fgColor indexed="64"/>
          <bgColor theme="0" tint="-0.249977111117893"/>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scheme val="minor"/>
      </font>
      <numFmt numFmtId="0" formatCode="General"/>
      <fill>
        <patternFill patternType="solid">
          <fgColor indexed="64"/>
          <bgColor theme="0" tint="-0.249977111117893"/>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scheme val="minor"/>
      </font>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scheme val="minor"/>
      </font>
      <alignment horizontal="center" vertical="center" textRotation="0" wrapText="0" indent="0" justifyLastLine="0" shrinkToFit="0" readingOrder="0"/>
    </dxf>
    <dxf>
      <border outline="0">
        <bottom style="thin">
          <color indexed="64"/>
        </bottom>
      </border>
    </dxf>
    <dxf>
      <font>
        <strike val="0"/>
        <outline val="0"/>
        <shadow val="0"/>
        <u val="none"/>
        <vertAlign val="baseline"/>
        <sz val="10"/>
        <color theme="1"/>
        <name val="Calibri"/>
        <scheme val="minor"/>
      </font>
      <fill>
        <patternFill patternType="solid">
          <fgColor indexed="64"/>
          <bgColor theme="0" tint="-0.249977111117893"/>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0.249977111117893"/>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Calibri"/>
        <scheme val="minor"/>
      </font>
      <fill>
        <patternFill patternType="solid">
          <fgColor indexed="64"/>
          <bgColor rgb="FFFFC000"/>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Calibri"/>
        <scheme val="minor"/>
      </font>
      <fill>
        <patternFill patternType="solid">
          <fgColor indexed="64"/>
          <bgColor rgb="FFFFC000"/>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Calibri"/>
        <scheme val="minor"/>
      </font>
      <fill>
        <patternFill patternType="solid">
          <fgColor indexed="64"/>
          <bgColor theme="0" tint="-0.249977111117893"/>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0.249977111117893"/>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0.249977111117893"/>
        </patternFill>
      </fill>
      <alignment horizontal="center" vertical="center" textRotation="0" wrapText="0" indent="0" justifyLastLine="0" shrinkToFit="0" readingOrder="0"/>
      <border diagonalUp="0" diagonalDown="0">
        <left/>
        <right style="thin">
          <color indexed="64"/>
        </right>
        <top style="thin">
          <color indexed="64"/>
        </top>
        <bottom/>
      </border>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0.249977111117893"/>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0.249977111117893"/>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border diagonalUp="0" diagonalDown="0" outline="0">
        <left/>
        <right/>
        <top style="thin">
          <color indexed="64"/>
        </top>
        <bottom/>
      </border>
    </dxf>
    <dxf>
      <border outline="0">
        <top style="thin">
          <color rgb="FF000000"/>
        </top>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dxf>
    <dxf>
      <font>
        <b/>
        <i val="0"/>
        <strike val="0"/>
        <condense val="0"/>
        <extend val="0"/>
        <outline val="0"/>
        <shadow val="0"/>
        <u val="none"/>
        <vertAlign val="baseline"/>
        <sz val="10"/>
        <color theme="0"/>
        <name val="Calibri"/>
        <scheme val="minor"/>
      </font>
      <fill>
        <patternFill patternType="solid">
          <fgColor indexed="64"/>
          <bgColor theme="0" tint="-0.249977111117893"/>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solid">
          <fgColor indexed="64"/>
          <bgColor theme="0" tint="-0.249977111117893"/>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theme="1"/>
        <name val="Calibri"/>
        <scheme val="minor"/>
      </font>
      <fill>
        <patternFill patternType="solid">
          <fgColor indexed="64"/>
          <bgColor rgb="FFFFC000"/>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solid">
          <fgColor indexed="64"/>
          <bgColor rgb="FFFFC00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0"/>
        <color theme="1"/>
        <name val="Calibri"/>
        <scheme val="minor"/>
      </font>
      <fill>
        <patternFill patternType="solid">
          <fgColor indexed="64"/>
          <bgColor theme="0" tint="-0.249977111117893"/>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0.249977111117893"/>
        </patternFill>
      </fill>
      <alignment horizontal="center" vertical="center" textRotation="0" wrapText="0" indent="0" justifyLastLine="0" shrinkToFit="0" readingOrder="0"/>
      <border diagonalUp="0" diagonalDown="0">
        <left style="thin">
          <color indexed="64"/>
        </left>
        <right/>
        <top style="thin">
          <color indexed="64"/>
        </top>
        <bottom/>
      </border>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0.249977111117893"/>
        </patternFill>
      </fill>
      <alignment horizontal="center" vertical="center" textRotation="0" wrapText="0" indent="0" justifyLastLine="0" shrinkToFit="0" readingOrder="0"/>
      <border diagonalUp="0" diagonalDown="0">
        <left/>
        <right style="thin">
          <color indexed="64"/>
        </right>
        <top style="thin">
          <color indexed="64"/>
        </top>
        <bottom/>
      </border>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0.249977111117893"/>
        </patternFill>
      </fill>
      <alignment horizontal="center" vertical="center" textRotation="0" wrapText="0" indent="0" justifyLastLine="0" shrinkToFit="0" readingOrder="0"/>
      <border diagonalUp="0" diagonalDown="0">
        <left/>
        <right style="thin">
          <color indexed="64"/>
        </right>
        <top style="thin">
          <color indexed="64"/>
        </top>
        <bottom/>
      </border>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tint="-0.249977111117893"/>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border diagonalUp="0" diagonalDown="0" outline="0">
        <left/>
        <right style="thin">
          <color indexed="64"/>
        </right>
        <top style="thin">
          <color indexed="64"/>
        </top>
        <bottom/>
      </border>
    </dxf>
    <dxf>
      <border outline="0">
        <top style="thin">
          <color rgb="FF000000"/>
        </top>
      </border>
    </dxf>
    <dxf>
      <font>
        <b val="0"/>
        <i val="0"/>
        <strike val="0"/>
        <condense val="0"/>
        <extend val="0"/>
        <outline val="0"/>
        <shadow val="0"/>
        <u val="none"/>
        <vertAlign val="baseline"/>
        <sz val="10"/>
        <color rgb="FF000000"/>
        <name val="Calibri"/>
        <scheme val="none"/>
      </font>
      <fill>
        <patternFill patternType="none">
          <fgColor rgb="FF000000"/>
          <bgColor rgb="FFFFFFFF"/>
        </patternFill>
      </fill>
      <alignment horizontal="center" vertical="center" textRotation="0" wrapText="0" indent="0" justifyLastLine="0" shrinkToFit="0" readingOrder="0"/>
    </dxf>
    <dxf>
      <font>
        <b/>
        <i val="0"/>
        <strike val="0"/>
        <condense val="0"/>
        <extend val="0"/>
        <outline val="0"/>
        <shadow val="0"/>
        <u val="none"/>
        <vertAlign val="baseline"/>
        <sz val="10"/>
        <color theme="0"/>
        <name val="Calibri"/>
        <scheme val="minor"/>
      </font>
      <fill>
        <patternFill patternType="solid">
          <fgColor indexed="64"/>
          <bgColor theme="0" tint="-0.249977111117893"/>
        </patternFill>
      </fill>
      <alignment horizontal="left"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[Orlando Scoring Workbook vpostgame.xlsx]Pvt_CupPts!PivotTable1</c:name>
    <c:fmtId val="19"/>
  </c:pivotSource>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Cup Points Race</a:t>
            </a:r>
          </a:p>
        </c:rich>
      </c:tx>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2"/>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3"/>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4"/>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5"/>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6"/>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7"/>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8"/>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9"/>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1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11"/>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12"/>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13"/>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14"/>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15"/>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16"/>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17"/>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18"/>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19"/>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2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21"/>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22"/>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23"/>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24"/>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25"/>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extLst>
            <c:ext xmlns:c15="http://schemas.microsoft.com/office/drawing/2012/chart" uri="{CE6537A1-D6FC-4f65-9D91-7224C49458BB}">
              <c15:layout/>
            </c:ext>
          </c:extLst>
        </c:dLbl>
      </c:pivotFmt>
      <c:pivotFmt>
        <c:idx val="26"/>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extLst>
            <c:ext xmlns:c15="http://schemas.microsoft.com/office/drawing/2012/chart" uri="{CE6537A1-D6FC-4f65-9D91-7224C49458BB}">
              <c15:layout/>
            </c:ext>
          </c:extLst>
        </c:dLbl>
      </c:pivotFmt>
      <c:pivotFmt>
        <c:idx val="27"/>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extLst>
            <c:ext xmlns:c15="http://schemas.microsoft.com/office/drawing/2012/chart" uri="{CE6537A1-D6FC-4f65-9D91-7224C49458BB}">
              <c15:layout/>
            </c:ext>
          </c:extLst>
        </c:dLbl>
      </c:pivotFmt>
      <c:pivotFmt>
        <c:idx val="28"/>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extLst>
            <c:ext xmlns:c15="http://schemas.microsoft.com/office/drawing/2012/chart" uri="{CE6537A1-D6FC-4f65-9D91-7224C49458BB}">
              <c15:layout/>
            </c:ext>
          </c:extLst>
        </c:dLbl>
      </c:pivotFmt>
      <c:pivotFmt>
        <c:idx val="29"/>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extLst>
            <c:ext xmlns:c15="http://schemas.microsoft.com/office/drawing/2012/chart" uri="{CE6537A1-D6FC-4f65-9D91-7224C49458BB}">
              <c15:layout/>
            </c:ext>
          </c:extLst>
        </c:dLbl>
      </c:pivotFmt>
      <c:pivotFmt>
        <c:idx val="3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extLst>
            <c:ext xmlns:c15="http://schemas.microsoft.com/office/drawing/2012/chart" uri="{CE6537A1-D6FC-4f65-9D91-7224C49458BB}">
              <c15:layout/>
            </c:ext>
          </c:extLst>
        </c:dLbl>
      </c:pivotFmt>
      <c:pivotFmt>
        <c:idx val="31"/>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extLst>
            <c:ext xmlns:c15="http://schemas.microsoft.com/office/drawing/2012/chart" uri="{CE6537A1-D6FC-4f65-9D91-7224C49458BB}">
              <c15:layout/>
            </c:ext>
          </c:extLst>
        </c:dLbl>
      </c:pivotFmt>
      <c:pivotFmt>
        <c:idx val="32"/>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extLst>
            <c:ext xmlns:c15="http://schemas.microsoft.com/office/drawing/2012/chart" uri="{CE6537A1-D6FC-4f65-9D91-7224C49458BB}">
              <c15:layout/>
            </c:ext>
          </c:extLst>
        </c:dLbl>
      </c:pivotFmt>
      <c:pivotFmt>
        <c:idx val="33"/>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extLst>
            <c:ext xmlns:c15="http://schemas.microsoft.com/office/drawing/2012/chart" uri="{CE6537A1-D6FC-4f65-9D91-7224C49458BB}">
              <c15:layout/>
            </c:ext>
          </c:extLst>
        </c:dLbl>
      </c:pivotFmt>
      <c:pivotFmt>
        <c:idx val="34"/>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extLst>
            <c:ext xmlns:c15="http://schemas.microsoft.com/office/drawing/2012/chart" uri="{CE6537A1-D6FC-4f65-9D91-7224C49458BB}">
              <c15:layout/>
            </c:ext>
          </c:extLst>
        </c:dLbl>
      </c:pivotFmt>
      <c:pivotFmt>
        <c:idx val="35"/>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extLst>
            <c:ext xmlns:c15="http://schemas.microsoft.com/office/drawing/2012/chart" uri="{CE6537A1-D6FC-4f65-9D91-7224C49458BB}">
              <c15:layout/>
            </c:ext>
          </c:extLst>
        </c:dLbl>
      </c:pivotFmt>
      <c:pivotFmt>
        <c:idx val="36"/>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extLst>
            <c:ext xmlns:c15="http://schemas.microsoft.com/office/drawing/2012/chart" uri="{CE6537A1-D6FC-4f65-9D91-7224C49458BB}">
              <c15:layout/>
            </c:ext>
          </c:extLst>
        </c:dLbl>
      </c:pivotFmt>
    </c:pivotFmts>
    <c:plotArea>
      <c:layout/>
      <c:barChart>
        <c:barDir val="col"/>
        <c:grouping val="stacked"/>
        <c:varyColors val="0"/>
        <c:ser>
          <c:idx val="0"/>
          <c:order val="0"/>
          <c:tx>
            <c:strRef>
              <c:f>Pvt_CupPts!$B$3:$B$4</c:f>
              <c:strCache>
                <c:ptCount val="1"/>
                <c:pt idx="0">
                  <c:v>Billy Newsome</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a:solidFill>
                        <a:schemeClr val="lt1">
                          <a:lumMod val="95000"/>
                          <a:alpha val="54000"/>
                        </a:schemeClr>
                      </a:solidFill>
                    </a:ln>
                    <a:effectLst/>
                  </c:spPr>
                </c15:leaderLines>
              </c:ext>
            </c:extLst>
          </c:dLbls>
          <c:cat>
            <c:strRef>
              <c:f>Pvt_CupPts!$A$5:$A$8</c:f>
              <c:strCache>
                <c:ptCount val="3"/>
                <c:pt idx="0">
                  <c:v>Danny</c:v>
                </c:pt>
                <c:pt idx="1">
                  <c:v>Eric</c:v>
                </c:pt>
                <c:pt idx="2">
                  <c:v>Matt</c:v>
                </c:pt>
              </c:strCache>
            </c:strRef>
          </c:cat>
          <c:val>
            <c:numRef>
              <c:f>Pvt_CupPts!$B$5:$B$8</c:f>
              <c:numCache>
                <c:formatCode>General</c:formatCode>
                <c:ptCount val="3"/>
                <c:pt idx="1">
                  <c:v>0</c:v>
                </c:pt>
              </c:numCache>
            </c:numRef>
          </c:val>
        </c:ser>
        <c:ser>
          <c:idx val="1"/>
          <c:order val="1"/>
          <c:tx>
            <c:strRef>
              <c:f>Pvt_CupPts!$C$3:$C$4</c:f>
              <c:strCache>
                <c:ptCount val="1"/>
                <c:pt idx="0">
                  <c:v>Bryan Gist</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a:solidFill>
                        <a:schemeClr val="lt1">
                          <a:lumMod val="95000"/>
                          <a:alpha val="54000"/>
                        </a:schemeClr>
                      </a:solidFill>
                    </a:ln>
                    <a:effectLst/>
                  </c:spPr>
                </c15:leaderLines>
              </c:ext>
            </c:extLst>
          </c:dLbls>
          <c:cat>
            <c:strRef>
              <c:f>Pvt_CupPts!$A$5:$A$8</c:f>
              <c:strCache>
                <c:ptCount val="3"/>
                <c:pt idx="0">
                  <c:v>Danny</c:v>
                </c:pt>
                <c:pt idx="1">
                  <c:v>Eric</c:v>
                </c:pt>
                <c:pt idx="2">
                  <c:v>Matt</c:v>
                </c:pt>
              </c:strCache>
            </c:strRef>
          </c:cat>
          <c:val>
            <c:numRef>
              <c:f>Pvt_CupPts!$C$5:$C$8</c:f>
              <c:numCache>
                <c:formatCode>General</c:formatCode>
                <c:ptCount val="3"/>
                <c:pt idx="0">
                  <c:v>4</c:v>
                </c:pt>
              </c:numCache>
            </c:numRef>
          </c:val>
        </c:ser>
        <c:ser>
          <c:idx val="2"/>
          <c:order val="2"/>
          <c:tx>
            <c:strRef>
              <c:f>Pvt_CupPts!$D$3:$D$4</c:f>
              <c:strCache>
                <c:ptCount val="1"/>
                <c:pt idx="0">
                  <c:v>Chris Webb</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a:solidFill>
                        <a:schemeClr val="lt1">
                          <a:lumMod val="95000"/>
                          <a:alpha val="54000"/>
                        </a:schemeClr>
                      </a:solidFill>
                    </a:ln>
                    <a:effectLst/>
                  </c:spPr>
                </c15:leaderLines>
              </c:ext>
            </c:extLst>
          </c:dLbls>
          <c:cat>
            <c:strRef>
              <c:f>Pvt_CupPts!$A$5:$A$8</c:f>
              <c:strCache>
                <c:ptCount val="3"/>
                <c:pt idx="0">
                  <c:v>Danny</c:v>
                </c:pt>
                <c:pt idx="1">
                  <c:v>Eric</c:v>
                </c:pt>
                <c:pt idx="2">
                  <c:v>Matt</c:v>
                </c:pt>
              </c:strCache>
            </c:strRef>
          </c:cat>
          <c:val>
            <c:numRef>
              <c:f>Pvt_CupPts!$D$5:$D$8</c:f>
              <c:numCache>
                <c:formatCode>General</c:formatCode>
                <c:ptCount val="3"/>
                <c:pt idx="2">
                  <c:v>2.5</c:v>
                </c:pt>
              </c:numCache>
            </c:numRef>
          </c:val>
        </c:ser>
        <c:ser>
          <c:idx val="3"/>
          <c:order val="3"/>
          <c:tx>
            <c:strRef>
              <c:f>Pvt_CupPts!$E$3:$E$4</c:f>
              <c:strCache>
                <c:ptCount val="1"/>
                <c:pt idx="0">
                  <c:v>Danny Birdsall</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a:solidFill>
                        <a:schemeClr val="lt1">
                          <a:lumMod val="95000"/>
                          <a:alpha val="54000"/>
                        </a:schemeClr>
                      </a:solidFill>
                    </a:ln>
                    <a:effectLst/>
                  </c:spPr>
                </c15:leaderLines>
              </c:ext>
            </c:extLst>
          </c:dLbls>
          <c:cat>
            <c:strRef>
              <c:f>Pvt_CupPts!$A$5:$A$8</c:f>
              <c:strCache>
                <c:ptCount val="3"/>
                <c:pt idx="0">
                  <c:v>Danny</c:v>
                </c:pt>
                <c:pt idx="1">
                  <c:v>Eric</c:v>
                </c:pt>
                <c:pt idx="2">
                  <c:v>Matt</c:v>
                </c:pt>
              </c:strCache>
            </c:strRef>
          </c:cat>
          <c:val>
            <c:numRef>
              <c:f>Pvt_CupPts!$E$5:$E$8</c:f>
              <c:numCache>
                <c:formatCode>General</c:formatCode>
                <c:ptCount val="3"/>
                <c:pt idx="0">
                  <c:v>1</c:v>
                </c:pt>
              </c:numCache>
            </c:numRef>
          </c:val>
        </c:ser>
        <c:ser>
          <c:idx val="4"/>
          <c:order val="4"/>
          <c:tx>
            <c:strRef>
              <c:f>Pvt_CupPts!$F$3:$F$4</c:f>
              <c:strCache>
                <c:ptCount val="1"/>
                <c:pt idx="0">
                  <c:v>Eric Newsome</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a:solidFill>
                        <a:schemeClr val="lt1">
                          <a:lumMod val="95000"/>
                          <a:alpha val="54000"/>
                        </a:schemeClr>
                      </a:solidFill>
                    </a:ln>
                    <a:effectLst/>
                  </c:spPr>
                </c15:leaderLines>
              </c:ext>
            </c:extLst>
          </c:dLbls>
          <c:cat>
            <c:strRef>
              <c:f>Pvt_CupPts!$A$5:$A$8</c:f>
              <c:strCache>
                <c:ptCount val="3"/>
                <c:pt idx="0">
                  <c:v>Danny</c:v>
                </c:pt>
                <c:pt idx="1">
                  <c:v>Eric</c:v>
                </c:pt>
                <c:pt idx="2">
                  <c:v>Matt</c:v>
                </c:pt>
              </c:strCache>
            </c:strRef>
          </c:cat>
          <c:val>
            <c:numRef>
              <c:f>Pvt_CupPts!$F$5:$F$8</c:f>
              <c:numCache>
                <c:formatCode>General</c:formatCode>
                <c:ptCount val="3"/>
                <c:pt idx="1">
                  <c:v>1</c:v>
                </c:pt>
              </c:numCache>
            </c:numRef>
          </c:val>
        </c:ser>
        <c:ser>
          <c:idx val="5"/>
          <c:order val="5"/>
          <c:tx>
            <c:strRef>
              <c:f>Pvt_CupPts!$G$3:$G$4</c:f>
              <c:strCache>
                <c:ptCount val="1"/>
                <c:pt idx="0">
                  <c:v>Ike Birdsall</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a:solidFill>
                        <a:schemeClr val="lt1">
                          <a:lumMod val="95000"/>
                          <a:alpha val="54000"/>
                        </a:schemeClr>
                      </a:solidFill>
                    </a:ln>
                    <a:effectLst/>
                  </c:spPr>
                </c15:leaderLines>
              </c:ext>
            </c:extLst>
          </c:dLbls>
          <c:cat>
            <c:strRef>
              <c:f>Pvt_CupPts!$A$5:$A$8</c:f>
              <c:strCache>
                <c:ptCount val="3"/>
                <c:pt idx="0">
                  <c:v>Danny</c:v>
                </c:pt>
                <c:pt idx="1">
                  <c:v>Eric</c:v>
                </c:pt>
                <c:pt idx="2">
                  <c:v>Matt</c:v>
                </c:pt>
              </c:strCache>
            </c:strRef>
          </c:cat>
          <c:val>
            <c:numRef>
              <c:f>Pvt_CupPts!$G$5:$G$8</c:f>
              <c:numCache>
                <c:formatCode>General</c:formatCode>
                <c:ptCount val="3"/>
                <c:pt idx="0">
                  <c:v>3</c:v>
                </c:pt>
              </c:numCache>
            </c:numRef>
          </c:val>
        </c:ser>
        <c:ser>
          <c:idx val="6"/>
          <c:order val="6"/>
          <c:tx>
            <c:strRef>
              <c:f>Pvt_CupPts!$H$3:$H$4</c:f>
              <c:strCache>
                <c:ptCount val="1"/>
                <c:pt idx="0">
                  <c:v>James Wharton</c:v>
                </c:pt>
              </c:strCache>
            </c:strRef>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a:solidFill>
                        <a:schemeClr val="lt1">
                          <a:lumMod val="95000"/>
                          <a:alpha val="54000"/>
                        </a:schemeClr>
                      </a:solidFill>
                    </a:ln>
                    <a:effectLst/>
                  </c:spPr>
                </c15:leaderLines>
              </c:ext>
            </c:extLst>
          </c:dLbls>
          <c:cat>
            <c:strRef>
              <c:f>Pvt_CupPts!$A$5:$A$8</c:f>
              <c:strCache>
                <c:ptCount val="3"/>
                <c:pt idx="0">
                  <c:v>Danny</c:v>
                </c:pt>
                <c:pt idx="1">
                  <c:v>Eric</c:v>
                </c:pt>
                <c:pt idx="2">
                  <c:v>Matt</c:v>
                </c:pt>
              </c:strCache>
            </c:strRef>
          </c:cat>
          <c:val>
            <c:numRef>
              <c:f>Pvt_CupPts!$H$5:$H$8</c:f>
              <c:numCache>
                <c:formatCode>General</c:formatCode>
                <c:ptCount val="3"/>
                <c:pt idx="0">
                  <c:v>1</c:v>
                </c:pt>
              </c:numCache>
            </c:numRef>
          </c:val>
        </c:ser>
        <c:ser>
          <c:idx val="7"/>
          <c:order val="7"/>
          <c:tx>
            <c:strRef>
              <c:f>Pvt_CupPts!$I$3:$I$4</c:f>
              <c:strCache>
                <c:ptCount val="1"/>
                <c:pt idx="0">
                  <c:v>Jason Powers</c:v>
                </c:pt>
              </c:strCache>
            </c:strRef>
          </c:tx>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a:solidFill>
                        <a:schemeClr val="lt1">
                          <a:lumMod val="95000"/>
                          <a:alpha val="54000"/>
                        </a:schemeClr>
                      </a:solidFill>
                    </a:ln>
                    <a:effectLst/>
                  </c:spPr>
                </c15:leaderLines>
              </c:ext>
            </c:extLst>
          </c:dLbls>
          <c:cat>
            <c:strRef>
              <c:f>Pvt_CupPts!$A$5:$A$8</c:f>
              <c:strCache>
                <c:ptCount val="3"/>
                <c:pt idx="0">
                  <c:v>Danny</c:v>
                </c:pt>
                <c:pt idx="1">
                  <c:v>Eric</c:v>
                </c:pt>
                <c:pt idx="2">
                  <c:v>Matt</c:v>
                </c:pt>
              </c:strCache>
            </c:strRef>
          </c:cat>
          <c:val>
            <c:numRef>
              <c:f>Pvt_CupPts!$I$5:$I$8</c:f>
              <c:numCache>
                <c:formatCode>General</c:formatCode>
                <c:ptCount val="3"/>
                <c:pt idx="1">
                  <c:v>6.5</c:v>
                </c:pt>
              </c:numCache>
            </c:numRef>
          </c:val>
        </c:ser>
        <c:ser>
          <c:idx val="8"/>
          <c:order val="8"/>
          <c:tx>
            <c:strRef>
              <c:f>Pvt_CupPts!$J$3:$J$4</c:f>
              <c:strCache>
                <c:ptCount val="1"/>
                <c:pt idx="0">
                  <c:v>Matt Trumbo</c:v>
                </c:pt>
              </c:strCache>
            </c:strRef>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a:solidFill>
                        <a:schemeClr val="lt1">
                          <a:lumMod val="95000"/>
                          <a:alpha val="54000"/>
                        </a:schemeClr>
                      </a:solidFill>
                    </a:ln>
                    <a:effectLst/>
                  </c:spPr>
                </c15:leaderLines>
              </c:ext>
            </c:extLst>
          </c:dLbls>
          <c:cat>
            <c:strRef>
              <c:f>Pvt_CupPts!$A$5:$A$8</c:f>
              <c:strCache>
                <c:ptCount val="3"/>
                <c:pt idx="0">
                  <c:v>Danny</c:v>
                </c:pt>
                <c:pt idx="1">
                  <c:v>Eric</c:v>
                </c:pt>
                <c:pt idx="2">
                  <c:v>Matt</c:v>
                </c:pt>
              </c:strCache>
            </c:strRef>
          </c:cat>
          <c:val>
            <c:numRef>
              <c:f>Pvt_CupPts!$J$5:$J$8</c:f>
              <c:numCache>
                <c:formatCode>General</c:formatCode>
                <c:ptCount val="3"/>
                <c:pt idx="2">
                  <c:v>7</c:v>
                </c:pt>
              </c:numCache>
            </c:numRef>
          </c:val>
        </c:ser>
        <c:ser>
          <c:idx val="9"/>
          <c:order val="9"/>
          <c:tx>
            <c:strRef>
              <c:f>Pvt_CupPts!$K$3:$K$4</c:f>
              <c:strCache>
                <c:ptCount val="1"/>
                <c:pt idx="0">
                  <c:v>Mike Hibbs</c:v>
                </c:pt>
              </c:strCache>
            </c:strRef>
          </c:tx>
          <c:spPr>
            <a:gradFill rotWithShape="1">
              <a:gsLst>
                <a:gs pos="0">
                  <a:schemeClr val="accent4">
                    <a:lumMod val="60000"/>
                    <a:shade val="51000"/>
                    <a:satMod val="130000"/>
                  </a:schemeClr>
                </a:gs>
                <a:gs pos="80000">
                  <a:schemeClr val="accent4">
                    <a:lumMod val="60000"/>
                    <a:shade val="93000"/>
                    <a:satMod val="130000"/>
                  </a:schemeClr>
                </a:gs>
                <a:gs pos="100000">
                  <a:schemeClr val="accent4">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a:solidFill>
                        <a:schemeClr val="lt1">
                          <a:lumMod val="95000"/>
                          <a:alpha val="54000"/>
                        </a:schemeClr>
                      </a:solidFill>
                    </a:ln>
                    <a:effectLst/>
                  </c:spPr>
                </c15:leaderLines>
              </c:ext>
            </c:extLst>
          </c:dLbls>
          <c:cat>
            <c:strRef>
              <c:f>Pvt_CupPts!$A$5:$A$8</c:f>
              <c:strCache>
                <c:ptCount val="3"/>
                <c:pt idx="0">
                  <c:v>Danny</c:v>
                </c:pt>
                <c:pt idx="1">
                  <c:v>Eric</c:v>
                </c:pt>
                <c:pt idx="2">
                  <c:v>Matt</c:v>
                </c:pt>
              </c:strCache>
            </c:strRef>
          </c:cat>
          <c:val>
            <c:numRef>
              <c:f>Pvt_CupPts!$K$5:$K$8</c:f>
              <c:numCache>
                <c:formatCode>General</c:formatCode>
                <c:ptCount val="3"/>
                <c:pt idx="2">
                  <c:v>4</c:v>
                </c:pt>
              </c:numCache>
            </c:numRef>
          </c:val>
        </c:ser>
        <c:ser>
          <c:idx val="10"/>
          <c:order val="10"/>
          <c:tx>
            <c:strRef>
              <c:f>Pvt_CupPts!$L$3:$L$4</c:f>
              <c:strCache>
                <c:ptCount val="1"/>
                <c:pt idx="0">
                  <c:v>Rob Craig</c:v>
                </c:pt>
              </c:strCache>
            </c:strRef>
          </c:tx>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a:solidFill>
                        <a:schemeClr val="lt1">
                          <a:lumMod val="95000"/>
                          <a:alpha val="54000"/>
                        </a:schemeClr>
                      </a:solidFill>
                    </a:ln>
                    <a:effectLst/>
                  </c:spPr>
                </c15:leaderLines>
              </c:ext>
            </c:extLst>
          </c:dLbls>
          <c:cat>
            <c:strRef>
              <c:f>Pvt_CupPts!$A$5:$A$8</c:f>
              <c:strCache>
                <c:ptCount val="3"/>
                <c:pt idx="0">
                  <c:v>Danny</c:v>
                </c:pt>
                <c:pt idx="1">
                  <c:v>Eric</c:v>
                </c:pt>
                <c:pt idx="2">
                  <c:v>Matt</c:v>
                </c:pt>
              </c:strCache>
            </c:strRef>
          </c:cat>
          <c:val>
            <c:numRef>
              <c:f>Pvt_CupPts!$L$5:$L$8</c:f>
              <c:numCache>
                <c:formatCode>General</c:formatCode>
                <c:ptCount val="3"/>
                <c:pt idx="2">
                  <c:v>3.5</c:v>
                </c:pt>
              </c:numCache>
            </c:numRef>
          </c:val>
        </c:ser>
        <c:ser>
          <c:idx val="11"/>
          <c:order val="11"/>
          <c:tx>
            <c:strRef>
              <c:f>Pvt_CupPts!$M$3:$M$4</c:f>
              <c:strCache>
                <c:ptCount val="1"/>
                <c:pt idx="0">
                  <c:v>Trey Liebenrood</c:v>
                </c:pt>
              </c:strCache>
            </c:strRef>
          </c:tx>
          <c:spPr>
            <a:gradFill rotWithShape="1">
              <a:gsLst>
                <a:gs pos="0">
                  <a:schemeClr val="accent6">
                    <a:lumMod val="60000"/>
                    <a:shade val="51000"/>
                    <a:satMod val="130000"/>
                  </a:schemeClr>
                </a:gs>
                <a:gs pos="80000">
                  <a:schemeClr val="accent6">
                    <a:lumMod val="60000"/>
                    <a:shade val="93000"/>
                    <a:satMod val="130000"/>
                  </a:schemeClr>
                </a:gs>
                <a:gs pos="100000">
                  <a:schemeClr val="accent6">
                    <a:lumMod val="60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a:solidFill>
                        <a:schemeClr val="lt1">
                          <a:lumMod val="95000"/>
                          <a:alpha val="54000"/>
                        </a:schemeClr>
                      </a:solidFill>
                    </a:ln>
                    <a:effectLst/>
                  </c:spPr>
                </c15:leaderLines>
              </c:ext>
            </c:extLst>
          </c:dLbls>
          <c:cat>
            <c:strRef>
              <c:f>Pvt_CupPts!$A$5:$A$8</c:f>
              <c:strCache>
                <c:ptCount val="3"/>
                <c:pt idx="0">
                  <c:v>Danny</c:v>
                </c:pt>
                <c:pt idx="1">
                  <c:v>Eric</c:v>
                </c:pt>
                <c:pt idx="2">
                  <c:v>Matt</c:v>
                </c:pt>
              </c:strCache>
            </c:strRef>
          </c:cat>
          <c:val>
            <c:numRef>
              <c:f>Pvt_CupPts!$M$5:$M$8</c:f>
              <c:numCache>
                <c:formatCode>General</c:formatCode>
                <c:ptCount val="3"/>
                <c:pt idx="1">
                  <c:v>6.5</c:v>
                </c:pt>
              </c:numCache>
            </c:numRef>
          </c:val>
        </c:ser>
        <c:dLbls>
          <c:dLblPos val="ctr"/>
          <c:showLegendKey val="0"/>
          <c:showVal val="1"/>
          <c:showCatName val="0"/>
          <c:showSerName val="0"/>
          <c:showPercent val="0"/>
          <c:showBubbleSize val="0"/>
        </c:dLbls>
        <c:gapWidth val="150"/>
        <c:overlap val="100"/>
        <c:axId val="502537328"/>
        <c:axId val="502539288"/>
      </c:barChart>
      <c:catAx>
        <c:axId val="502537328"/>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02539288"/>
        <c:crosses val="autoZero"/>
        <c:auto val="1"/>
        <c:lblAlgn val="ctr"/>
        <c:lblOffset val="100"/>
        <c:noMultiLvlLbl val="0"/>
      </c:catAx>
      <c:valAx>
        <c:axId val="502539288"/>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02537328"/>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[Orlando Scoring Workbook vpostgame.xlsx]Pvt_ETeam!PivotTable2</c:name>
    <c:fmtId val="39"/>
  </c:pivotSource>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Newsome Team</a:t>
            </a:r>
          </a:p>
        </c:rich>
      </c:tx>
      <c:layout/>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ivotFmts>
      <c:pivotFmt>
        <c:idx val="0"/>
      </c:pivotFmt>
      <c:pivotFmt>
        <c:idx val="1"/>
      </c:pivotFmt>
      <c:pivotFmt>
        <c:idx val="2"/>
      </c:pivotFmt>
      <c:pivotFmt>
        <c:idx val="3"/>
      </c:pivotFmt>
      <c:pivotFmt>
        <c:idx val="4"/>
      </c:pivotFmt>
      <c:pivotFmt>
        <c:idx val="5"/>
      </c:pivotFmt>
      <c:pivotFmt>
        <c:idx val="6"/>
      </c:pivotFmt>
      <c:pivotFmt>
        <c:idx val="7"/>
      </c:pivotFmt>
      <c:pivotFmt>
        <c:idx val="8"/>
      </c:pivotFmt>
      <c:pivotFmt>
        <c:idx val="9"/>
      </c:pivotFmt>
      <c:pivotFmt>
        <c:idx val="10"/>
        <c:spPr>
          <a:noFill/>
          <a:ln w="9525" cap="flat" cmpd="sng" algn="ctr">
            <a:solidFill>
              <a:schemeClr val="accent1"/>
            </a:solidFill>
            <a:miter lim="800000"/>
          </a:ln>
          <a:effectLst>
            <a:glow rad="63500">
              <a:schemeClr val="accent1">
                <a:satMod val="175000"/>
                <a:alpha val="25000"/>
              </a:schemeClr>
            </a:glow>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
        <c:idx val="11"/>
        <c:spPr>
          <a:noFill/>
          <a:ln w="9525" cap="flat" cmpd="sng" algn="ctr">
            <a:solidFill>
              <a:schemeClr val="accent1"/>
            </a:solidFill>
            <a:miter lim="800000"/>
          </a:ln>
          <a:effectLst>
            <a:glow rad="63500">
              <a:schemeClr val="accent1">
                <a:satMod val="175000"/>
                <a:alpha val="25000"/>
              </a:schemeClr>
            </a:glow>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
        <c:idx val="12"/>
        <c:spPr>
          <a:noFill/>
          <a:ln w="9525" cap="flat" cmpd="sng" algn="ctr">
            <a:solidFill>
              <a:schemeClr val="accent1"/>
            </a:solidFill>
            <a:miter lim="800000"/>
          </a:ln>
          <a:effectLst>
            <a:glow rad="63500">
              <a:schemeClr val="accent1">
                <a:satMod val="175000"/>
                <a:alpha val="25000"/>
              </a:schemeClr>
            </a:glow>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
        <c:idx val="13"/>
        <c:spPr>
          <a:noFill/>
          <a:ln w="9525" cap="flat" cmpd="sng" algn="ctr">
            <a:solidFill>
              <a:schemeClr val="accent1"/>
            </a:solidFill>
            <a:miter lim="800000"/>
          </a:ln>
          <a:effectLst>
            <a:glow rad="63500">
              <a:schemeClr val="accent1">
                <a:satMod val="175000"/>
                <a:alpha val="25000"/>
              </a:schemeClr>
            </a:glow>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
        <c:idx val="14"/>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Pvt_ETeam!$B$4</c:f>
              <c:strCache>
                <c:ptCount val="1"/>
                <c:pt idx="0">
                  <c:v>AveGs</c:v>
                </c:pt>
              </c:strCache>
            </c:strRef>
          </c:tx>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lt1">
                          <a:lumMod val="50000"/>
                        </a:schemeClr>
                      </a:solidFill>
                      <a:round/>
                    </a:ln>
                    <a:effectLst/>
                  </c:spPr>
                </c15:leaderLines>
              </c:ext>
            </c:extLst>
          </c:dLbls>
          <c:cat>
            <c:strRef>
              <c:f>Pvt_ETeam!$A$5:$A$9</c:f>
              <c:strCache>
                <c:ptCount val="4"/>
                <c:pt idx="0">
                  <c:v>Billy Newsome</c:v>
                </c:pt>
                <c:pt idx="1">
                  <c:v>Eric Newsome</c:v>
                </c:pt>
                <c:pt idx="2">
                  <c:v>Jason Powers</c:v>
                </c:pt>
                <c:pt idx="3">
                  <c:v>Trey Liebenrood</c:v>
                </c:pt>
              </c:strCache>
            </c:strRef>
          </c:cat>
          <c:val>
            <c:numRef>
              <c:f>Pvt_ETeam!$B$5:$B$9</c:f>
              <c:numCache>
                <c:formatCode>0.0</c:formatCode>
                <c:ptCount val="4"/>
                <c:pt idx="0">
                  <c:v>121.33333333333333</c:v>
                </c:pt>
                <c:pt idx="1">
                  <c:v>91.166666666666671</c:v>
                </c:pt>
                <c:pt idx="2">
                  <c:v>92.666666666666671</c:v>
                </c:pt>
                <c:pt idx="3">
                  <c:v>99.666666666666671</c:v>
                </c:pt>
              </c:numCache>
            </c:numRef>
          </c:val>
        </c:ser>
        <c:ser>
          <c:idx val="1"/>
          <c:order val="1"/>
          <c:tx>
            <c:strRef>
              <c:f>Pvt_ETeam!$C$4</c:f>
              <c:strCache>
                <c:ptCount val="1"/>
                <c:pt idx="0">
                  <c:v>TotGs:Par</c:v>
                </c:pt>
              </c:strCache>
            </c:strRef>
          </c:tx>
          <c:spPr>
            <a:noFill/>
            <a:ln w="9525" cap="flat" cmpd="sng" algn="ctr">
              <a:solidFill>
                <a:schemeClr val="accent2"/>
              </a:solidFill>
              <a:miter lim="800000"/>
            </a:ln>
            <a:effectLst>
              <a:glow rad="63500">
                <a:schemeClr val="accent2">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lt1">
                          <a:lumMod val="50000"/>
                        </a:schemeClr>
                      </a:solidFill>
                      <a:round/>
                    </a:ln>
                    <a:effectLst/>
                  </c:spPr>
                </c15:leaderLines>
              </c:ext>
            </c:extLst>
          </c:dLbls>
          <c:cat>
            <c:strRef>
              <c:f>Pvt_ETeam!$A$5:$A$9</c:f>
              <c:strCache>
                <c:ptCount val="4"/>
                <c:pt idx="0">
                  <c:v>Billy Newsome</c:v>
                </c:pt>
                <c:pt idx="1">
                  <c:v>Eric Newsome</c:v>
                </c:pt>
                <c:pt idx="2">
                  <c:v>Jason Powers</c:v>
                </c:pt>
                <c:pt idx="3">
                  <c:v>Trey Liebenrood</c:v>
                </c:pt>
              </c:strCache>
            </c:strRef>
          </c:cat>
          <c:val>
            <c:numRef>
              <c:f>Pvt_ETeam!$C$5:$C$9</c:f>
              <c:numCache>
                <c:formatCode>General</c:formatCode>
                <c:ptCount val="4"/>
                <c:pt idx="0">
                  <c:v>296</c:v>
                </c:pt>
                <c:pt idx="1">
                  <c:v>115</c:v>
                </c:pt>
                <c:pt idx="2">
                  <c:v>124</c:v>
                </c:pt>
                <c:pt idx="3">
                  <c:v>166</c:v>
                </c:pt>
              </c:numCache>
            </c:numRef>
          </c:val>
        </c:ser>
        <c:ser>
          <c:idx val="2"/>
          <c:order val="2"/>
          <c:tx>
            <c:strRef>
              <c:f>Pvt_ETeam!$D$4</c:f>
              <c:strCache>
                <c:ptCount val="1"/>
                <c:pt idx="0">
                  <c:v>AveNt</c:v>
                </c:pt>
              </c:strCache>
            </c:strRef>
          </c:tx>
          <c:spPr>
            <a:noFill/>
            <a:ln w="9525" cap="flat" cmpd="sng" algn="ctr">
              <a:solidFill>
                <a:schemeClr val="accent3"/>
              </a:solidFill>
              <a:miter lim="800000"/>
            </a:ln>
            <a:effectLst>
              <a:glow rad="63500">
                <a:schemeClr val="accent3">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lt1">
                          <a:lumMod val="50000"/>
                        </a:schemeClr>
                      </a:solidFill>
                      <a:round/>
                    </a:ln>
                    <a:effectLst/>
                  </c:spPr>
                </c15:leaderLines>
              </c:ext>
            </c:extLst>
          </c:dLbls>
          <c:cat>
            <c:strRef>
              <c:f>Pvt_ETeam!$A$5:$A$9</c:f>
              <c:strCache>
                <c:ptCount val="4"/>
                <c:pt idx="0">
                  <c:v>Billy Newsome</c:v>
                </c:pt>
                <c:pt idx="1">
                  <c:v>Eric Newsome</c:v>
                </c:pt>
                <c:pt idx="2">
                  <c:v>Jason Powers</c:v>
                </c:pt>
                <c:pt idx="3">
                  <c:v>Trey Liebenrood</c:v>
                </c:pt>
              </c:strCache>
            </c:strRef>
          </c:cat>
          <c:val>
            <c:numRef>
              <c:f>Pvt_ETeam!$D$5:$D$9</c:f>
              <c:numCache>
                <c:formatCode>0.0</c:formatCode>
                <c:ptCount val="4"/>
                <c:pt idx="0">
                  <c:v>106.33333333333333</c:v>
                </c:pt>
                <c:pt idx="1">
                  <c:v>85.166666666666671</c:v>
                </c:pt>
                <c:pt idx="2">
                  <c:v>82.666666666666671</c:v>
                </c:pt>
                <c:pt idx="3">
                  <c:v>85.666666666666671</c:v>
                </c:pt>
              </c:numCache>
            </c:numRef>
          </c:val>
        </c:ser>
        <c:ser>
          <c:idx val="3"/>
          <c:order val="3"/>
          <c:tx>
            <c:strRef>
              <c:f>Pvt_ETeam!$E$4</c:f>
              <c:strCache>
                <c:ptCount val="1"/>
                <c:pt idx="0">
                  <c:v>TotNt:Par</c:v>
                </c:pt>
              </c:strCache>
            </c:strRef>
          </c:tx>
          <c:spPr>
            <a:noFill/>
            <a:ln w="9525" cap="flat" cmpd="sng" algn="ctr">
              <a:solidFill>
                <a:schemeClr val="accent4"/>
              </a:solidFill>
              <a:miter lim="800000"/>
            </a:ln>
            <a:effectLst>
              <a:glow rad="63500">
                <a:schemeClr val="accent4">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lt1">
                          <a:lumMod val="50000"/>
                        </a:schemeClr>
                      </a:solidFill>
                      <a:round/>
                    </a:ln>
                    <a:effectLst/>
                  </c:spPr>
                </c15:leaderLines>
              </c:ext>
            </c:extLst>
          </c:dLbls>
          <c:cat>
            <c:strRef>
              <c:f>Pvt_ETeam!$A$5:$A$9</c:f>
              <c:strCache>
                <c:ptCount val="4"/>
                <c:pt idx="0">
                  <c:v>Billy Newsome</c:v>
                </c:pt>
                <c:pt idx="1">
                  <c:v>Eric Newsome</c:v>
                </c:pt>
                <c:pt idx="2">
                  <c:v>Jason Powers</c:v>
                </c:pt>
                <c:pt idx="3">
                  <c:v>Trey Liebenrood</c:v>
                </c:pt>
              </c:strCache>
            </c:strRef>
          </c:cat>
          <c:val>
            <c:numRef>
              <c:f>Pvt_ETeam!$E$5:$E$9</c:f>
              <c:numCache>
                <c:formatCode>General</c:formatCode>
                <c:ptCount val="4"/>
                <c:pt idx="0">
                  <c:v>206</c:v>
                </c:pt>
                <c:pt idx="1">
                  <c:v>79</c:v>
                </c:pt>
                <c:pt idx="2">
                  <c:v>64</c:v>
                </c:pt>
                <c:pt idx="3">
                  <c:v>82</c:v>
                </c:pt>
              </c:numCache>
            </c:numRef>
          </c:val>
        </c:ser>
        <c:dLbls>
          <c:dLblPos val="outEnd"/>
          <c:showLegendKey val="0"/>
          <c:showVal val="1"/>
          <c:showCatName val="0"/>
          <c:showSerName val="0"/>
          <c:showPercent val="0"/>
          <c:showBubbleSize val="0"/>
        </c:dLbls>
        <c:gapWidth val="182"/>
        <c:overlap val="-50"/>
        <c:axId val="502538504"/>
        <c:axId val="502538112"/>
      </c:barChart>
      <c:catAx>
        <c:axId val="502538504"/>
        <c:scaling>
          <c:orientation val="minMax"/>
        </c:scaling>
        <c:delete val="0"/>
        <c:axPos val="l"/>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502538112"/>
        <c:crosses val="autoZero"/>
        <c:auto val="1"/>
        <c:lblAlgn val="ctr"/>
        <c:lblOffset val="100"/>
        <c:noMultiLvlLbl val="0"/>
      </c:catAx>
      <c:valAx>
        <c:axId val="502538112"/>
        <c:scaling>
          <c:orientation val="minMax"/>
        </c:scaling>
        <c:delete val="0"/>
        <c:axPos val="b"/>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50253850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legend>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extLst>
    <c:ext xmlns:c14="http://schemas.microsoft.com/office/drawing/2007/8/2/chart" uri="{781A3756-C4B2-4CAC-9D66-4F8BD8637D16}">
      <c14:pivotOptions>
        <c14:dropZoneFilter val="1"/>
        <c14:dropZoneCategories val="1"/>
        <c14:dropZoneSeries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[Orlando Scoring Workbook vpostgame.xlsx]Pvt_MTeam!PivotTable2</c:name>
    <c:fmtId val="37"/>
  </c:pivotSource>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Matt's Team</a:t>
            </a:r>
          </a:p>
        </c:rich>
      </c:tx>
      <c:layout/>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ivotFmts>
      <c:pivotFmt>
        <c:idx val="0"/>
      </c:pivotFmt>
      <c:pivotFmt>
        <c:idx val="1"/>
      </c:pivotFmt>
      <c:pivotFmt>
        <c:idx val="2"/>
      </c:pivotFmt>
      <c:pivotFmt>
        <c:idx val="3"/>
      </c:pivotFmt>
      <c:pivotFmt>
        <c:idx val="4"/>
      </c:pivotFmt>
      <c:pivotFmt>
        <c:idx val="5"/>
      </c:pivotFmt>
      <c:pivotFmt>
        <c:idx val="6"/>
      </c:pivotFmt>
      <c:pivotFmt>
        <c:idx val="7"/>
      </c:pivotFmt>
      <c:pivotFmt>
        <c:idx val="8"/>
      </c:pivotFmt>
      <c:pivotFmt>
        <c:idx val="9"/>
      </c:pivotFmt>
      <c:pivotFmt>
        <c:idx val="10"/>
        <c:spPr>
          <a:noFill/>
          <a:ln w="9525" cap="flat" cmpd="sng" algn="ctr">
            <a:solidFill>
              <a:schemeClr val="accent1"/>
            </a:solidFill>
            <a:miter lim="800000"/>
          </a:ln>
          <a:effectLst>
            <a:glow rad="63500">
              <a:schemeClr val="accent1">
                <a:satMod val="175000"/>
                <a:alpha val="25000"/>
              </a:schemeClr>
            </a:glow>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
        <c:idx val="11"/>
        <c:spPr>
          <a:noFill/>
          <a:ln w="9525" cap="flat" cmpd="sng" algn="ctr">
            <a:solidFill>
              <a:schemeClr val="accent1"/>
            </a:solidFill>
            <a:miter lim="800000"/>
          </a:ln>
          <a:effectLst>
            <a:glow rad="63500">
              <a:schemeClr val="accent1">
                <a:satMod val="175000"/>
                <a:alpha val="25000"/>
              </a:schemeClr>
            </a:glow>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
        <c:idx val="12"/>
        <c:spPr>
          <a:noFill/>
          <a:ln w="9525" cap="flat" cmpd="sng" algn="ctr">
            <a:solidFill>
              <a:schemeClr val="accent1"/>
            </a:solidFill>
            <a:miter lim="800000"/>
          </a:ln>
          <a:effectLst>
            <a:glow rad="63500">
              <a:schemeClr val="accent1">
                <a:satMod val="175000"/>
                <a:alpha val="25000"/>
              </a:schemeClr>
            </a:glow>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
        <c:idx val="13"/>
        <c:spPr>
          <a:noFill/>
          <a:ln w="9525" cap="flat" cmpd="sng" algn="ctr">
            <a:solidFill>
              <a:schemeClr val="accent1"/>
            </a:solidFill>
            <a:miter lim="800000"/>
          </a:ln>
          <a:effectLst>
            <a:glow rad="63500">
              <a:schemeClr val="accent1">
                <a:satMod val="175000"/>
                <a:alpha val="25000"/>
              </a:schemeClr>
            </a:glow>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
        <c:idx val="14"/>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Pvt_MTeam!$B$4</c:f>
              <c:strCache>
                <c:ptCount val="1"/>
                <c:pt idx="0">
                  <c:v>AveGs</c:v>
                </c:pt>
              </c:strCache>
            </c:strRef>
          </c:tx>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lt1">
                          <a:lumMod val="50000"/>
                        </a:schemeClr>
                      </a:solidFill>
                      <a:round/>
                    </a:ln>
                    <a:effectLst/>
                  </c:spPr>
                </c15:leaderLines>
              </c:ext>
            </c:extLst>
          </c:dLbls>
          <c:cat>
            <c:strRef>
              <c:f>Pvt_MTeam!$A$5:$A$9</c:f>
              <c:strCache>
                <c:ptCount val="4"/>
                <c:pt idx="0">
                  <c:v>Chris Webb</c:v>
                </c:pt>
                <c:pt idx="1">
                  <c:v>Matt Trumbo</c:v>
                </c:pt>
                <c:pt idx="2">
                  <c:v>Mike Hibbs</c:v>
                </c:pt>
                <c:pt idx="3">
                  <c:v>Rob Craig</c:v>
                </c:pt>
              </c:strCache>
            </c:strRef>
          </c:cat>
          <c:val>
            <c:numRef>
              <c:f>Pvt_MTeam!$B$5:$B$9</c:f>
              <c:numCache>
                <c:formatCode>0.0</c:formatCode>
                <c:ptCount val="4"/>
                <c:pt idx="0">
                  <c:v>109.5</c:v>
                </c:pt>
                <c:pt idx="1">
                  <c:v>85</c:v>
                </c:pt>
                <c:pt idx="2">
                  <c:v>99.333333333333329</c:v>
                </c:pt>
                <c:pt idx="3">
                  <c:v>83.833333333333329</c:v>
                </c:pt>
              </c:numCache>
            </c:numRef>
          </c:val>
        </c:ser>
        <c:ser>
          <c:idx val="1"/>
          <c:order val="1"/>
          <c:tx>
            <c:strRef>
              <c:f>Pvt_MTeam!$C$4</c:f>
              <c:strCache>
                <c:ptCount val="1"/>
                <c:pt idx="0">
                  <c:v>TotGs:Par</c:v>
                </c:pt>
              </c:strCache>
            </c:strRef>
          </c:tx>
          <c:spPr>
            <a:noFill/>
            <a:ln w="9525" cap="flat" cmpd="sng" algn="ctr">
              <a:solidFill>
                <a:schemeClr val="accent2"/>
              </a:solidFill>
              <a:miter lim="800000"/>
            </a:ln>
            <a:effectLst>
              <a:glow rad="63500">
                <a:schemeClr val="accent2">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lt1">
                          <a:lumMod val="50000"/>
                        </a:schemeClr>
                      </a:solidFill>
                      <a:round/>
                    </a:ln>
                    <a:effectLst/>
                  </c:spPr>
                </c15:leaderLines>
              </c:ext>
            </c:extLst>
          </c:dLbls>
          <c:cat>
            <c:strRef>
              <c:f>Pvt_MTeam!$A$5:$A$9</c:f>
              <c:strCache>
                <c:ptCount val="4"/>
                <c:pt idx="0">
                  <c:v>Chris Webb</c:v>
                </c:pt>
                <c:pt idx="1">
                  <c:v>Matt Trumbo</c:v>
                </c:pt>
                <c:pt idx="2">
                  <c:v>Mike Hibbs</c:v>
                </c:pt>
                <c:pt idx="3">
                  <c:v>Rob Craig</c:v>
                </c:pt>
              </c:strCache>
            </c:strRef>
          </c:cat>
          <c:val>
            <c:numRef>
              <c:f>Pvt_MTeam!$C$5:$C$9</c:f>
              <c:numCache>
                <c:formatCode>General</c:formatCode>
                <c:ptCount val="4"/>
                <c:pt idx="0">
                  <c:v>225</c:v>
                </c:pt>
                <c:pt idx="1">
                  <c:v>78</c:v>
                </c:pt>
                <c:pt idx="2">
                  <c:v>164</c:v>
                </c:pt>
                <c:pt idx="3">
                  <c:v>71</c:v>
                </c:pt>
              </c:numCache>
            </c:numRef>
          </c:val>
        </c:ser>
        <c:ser>
          <c:idx val="2"/>
          <c:order val="2"/>
          <c:tx>
            <c:strRef>
              <c:f>Pvt_MTeam!$D$4</c:f>
              <c:strCache>
                <c:ptCount val="1"/>
                <c:pt idx="0">
                  <c:v>AveNt</c:v>
                </c:pt>
              </c:strCache>
            </c:strRef>
          </c:tx>
          <c:spPr>
            <a:noFill/>
            <a:ln w="9525" cap="flat" cmpd="sng" algn="ctr">
              <a:solidFill>
                <a:schemeClr val="accent3"/>
              </a:solidFill>
              <a:miter lim="800000"/>
            </a:ln>
            <a:effectLst>
              <a:glow rad="63500">
                <a:schemeClr val="accent3">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lt1">
                          <a:lumMod val="50000"/>
                        </a:schemeClr>
                      </a:solidFill>
                      <a:round/>
                    </a:ln>
                    <a:effectLst/>
                  </c:spPr>
                </c15:leaderLines>
              </c:ext>
            </c:extLst>
          </c:dLbls>
          <c:cat>
            <c:strRef>
              <c:f>Pvt_MTeam!$A$5:$A$9</c:f>
              <c:strCache>
                <c:ptCount val="4"/>
                <c:pt idx="0">
                  <c:v>Chris Webb</c:v>
                </c:pt>
                <c:pt idx="1">
                  <c:v>Matt Trumbo</c:v>
                </c:pt>
                <c:pt idx="2">
                  <c:v>Mike Hibbs</c:v>
                </c:pt>
                <c:pt idx="3">
                  <c:v>Rob Craig</c:v>
                </c:pt>
              </c:strCache>
            </c:strRef>
          </c:cat>
          <c:val>
            <c:numRef>
              <c:f>Pvt_MTeam!$D$5:$D$9</c:f>
              <c:numCache>
                <c:formatCode>0.0</c:formatCode>
                <c:ptCount val="4"/>
                <c:pt idx="0">
                  <c:v>93.5</c:v>
                </c:pt>
                <c:pt idx="1">
                  <c:v>79</c:v>
                </c:pt>
                <c:pt idx="2">
                  <c:v>83.333333333333329</c:v>
                </c:pt>
                <c:pt idx="3">
                  <c:v>80.833333333333329</c:v>
                </c:pt>
              </c:numCache>
            </c:numRef>
          </c:val>
        </c:ser>
        <c:ser>
          <c:idx val="3"/>
          <c:order val="3"/>
          <c:tx>
            <c:strRef>
              <c:f>Pvt_MTeam!$E$4</c:f>
              <c:strCache>
                <c:ptCount val="1"/>
                <c:pt idx="0">
                  <c:v>TotNt:Par</c:v>
                </c:pt>
              </c:strCache>
            </c:strRef>
          </c:tx>
          <c:spPr>
            <a:noFill/>
            <a:ln w="9525" cap="flat" cmpd="sng" algn="ctr">
              <a:solidFill>
                <a:schemeClr val="accent4"/>
              </a:solidFill>
              <a:miter lim="800000"/>
            </a:ln>
            <a:effectLst>
              <a:glow rad="63500">
                <a:schemeClr val="accent4">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lt1">
                          <a:lumMod val="50000"/>
                        </a:schemeClr>
                      </a:solidFill>
                      <a:round/>
                    </a:ln>
                    <a:effectLst/>
                  </c:spPr>
                </c15:leaderLines>
              </c:ext>
            </c:extLst>
          </c:dLbls>
          <c:cat>
            <c:strRef>
              <c:f>Pvt_MTeam!$A$5:$A$9</c:f>
              <c:strCache>
                <c:ptCount val="4"/>
                <c:pt idx="0">
                  <c:v>Chris Webb</c:v>
                </c:pt>
                <c:pt idx="1">
                  <c:v>Matt Trumbo</c:v>
                </c:pt>
                <c:pt idx="2">
                  <c:v>Mike Hibbs</c:v>
                </c:pt>
                <c:pt idx="3">
                  <c:v>Rob Craig</c:v>
                </c:pt>
              </c:strCache>
            </c:strRef>
          </c:cat>
          <c:val>
            <c:numRef>
              <c:f>Pvt_MTeam!$E$5:$E$9</c:f>
              <c:numCache>
                <c:formatCode>General</c:formatCode>
                <c:ptCount val="4"/>
                <c:pt idx="0">
                  <c:v>129</c:v>
                </c:pt>
                <c:pt idx="1">
                  <c:v>42</c:v>
                </c:pt>
                <c:pt idx="2">
                  <c:v>68</c:v>
                </c:pt>
                <c:pt idx="3">
                  <c:v>53</c:v>
                </c:pt>
              </c:numCache>
            </c:numRef>
          </c:val>
        </c:ser>
        <c:dLbls>
          <c:dLblPos val="outEnd"/>
          <c:showLegendKey val="0"/>
          <c:showVal val="1"/>
          <c:showCatName val="0"/>
          <c:showSerName val="0"/>
          <c:showPercent val="0"/>
          <c:showBubbleSize val="0"/>
        </c:dLbls>
        <c:gapWidth val="182"/>
        <c:overlap val="-50"/>
        <c:axId val="358541600"/>
        <c:axId val="358539248"/>
      </c:barChart>
      <c:catAx>
        <c:axId val="358541600"/>
        <c:scaling>
          <c:orientation val="minMax"/>
        </c:scaling>
        <c:delete val="0"/>
        <c:axPos val="l"/>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358539248"/>
        <c:crosses val="autoZero"/>
        <c:auto val="1"/>
        <c:lblAlgn val="ctr"/>
        <c:lblOffset val="100"/>
        <c:noMultiLvlLbl val="0"/>
      </c:catAx>
      <c:valAx>
        <c:axId val="358539248"/>
        <c:scaling>
          <c:orientation val="minMax"/>
        </c:scaling>
        <c:delete val="0"/>
        <c:axPos val="b"/>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35854160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legend>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[Orlando Scoring Workbook vpostgame.xlsx]Pvt_DTeam!PivotTable2</c:name>
    <c:fmtId val="17"/>
  </c:pivotSource>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Danny's</a:t>
            </a:r>
            <a:r>
              <a:rPr lang="en-US" baseline="0"/>
              <a:t> Team</a:t>
            </a:r>
            <a:endParaRPr lang="en-US"/>
          </a:p>
        </c:rich>
      </c:tx>
      <c:layout/>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ivotFmts>
      <c:pivotFmt>
        <c:idx val="0"/>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1"/>
          <c:showPercent val="0"/>
          <c:showBubbleSize val="0"/>
          <c:extLst>
            <c:ext xmlns:c15="http://schemas.microsoft.com/office/drawing/2012/chart" uri="{CE6537A1-D6FC-4f65-9D91-7224C49458BB}"/>
          </c:extLst>
        </c:dLbl>
      </c:pivotFmt>
      <c:pivotFmt>
        <c:idx val="1"/>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2"/>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1"/>
          <c:showPercent val="0"/>
          <c:showBubbleSize val="0"/>
          <c:extLst>
            <c:ext xmlns:c15="http://schemas.microsoft.com/office/drawing/2012/chart" uri="{CE6537A1-D6FC-4f65-9D91-7224C49458BB}"/>
          </c:extLst>
        </c:dLbl>
      </c:pivotFmt>
      <c:pivotFmt>
        <c:idx val="3"/>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1"/>
          <c:showPercent val="0"/>
          <c:showBubbleSize val="0"/>
          <c:extLst>
            <c:ext xmlns:c15="http://schemas.microsoft.com/office/drawing/2012/chart" uri="{CE6537A1-D6FC-4f65-9D91-7224C49458BB}"/>
          </c:extLst>
        </c:dLbl>
      </c:pivotFmt>
      <c:pivotFmt>
        <c:idx val="4"/>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1"/>
          <c:showPercent val="0"/>
          <c:showBubbleSize val="0"/>
          <c:extLst>
            <c:ext xmlns:c15="http://schemas.microsoft.com/office/drawing/2012/chart" uri="{CE6537A1-D6FC-4f65-9D91-7224C49458BB}"/>
          </c:extLst>
        </c:dLbl>
      </c:pivotFmt>
      <c:pivotFmt>
        <c:idx val="5"/>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1"/>
          <c:showPercent val="0"/>
          <c:showBubbleSize val="0"/>
          <c:extLst>
            <c:ext xmlns:c15="http://schemas.microsoft.com/office/drawing/2012/chart" uri="{CE6537A1-D6FC-4f65-9D91-7224C49458BB}"/>
          </c:extLst>
        </c:dLbl>
      </c:pivotFmt>
      <c:pivotFmt>
        <c:idx val="6"/>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7"/>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1"/>
          <c:showPercent val="0"/>
          <c:showBubbleSize val="0"/>
          <c:extLst>
            <c:ext xmlns:c15="http://schemas.microsoft.com/office/drawing/2012/chart" uri="{CE6537A1-D6FC-4f65-9D91-7224C49458BB}"/>
          </c:extLst>
        </c:dLbl>
      </c:pivotFmt>
      <c:pivotFmt>
        <c:idx val="8"/>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1"/>
          <c:showPercent val="0"/>
          <c:showBubbleSize val="0"/>
          <c:extLst>
            <c:ext xmlns:c15="http://schemas.microsoft.com/office/drawing/2012/chart" uri="{CE6537A1-D6FC-4f65-9D91-7224C49458BB}"/>
          </c:extLst>
        </c:dLbl>
      </c:pivotFmt>
      <c:pivotFmt>
        <c:idx val="9"/>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1"/>
          <c:showPercent val="0"/>
          <c:showBubbleSize val="0"/>
          <c:extLst>
            <c:ext xmlns:c15="http://schemas.microsoft.com/office/drawing/2012/chart" uri="{CE6537A1-D6FC-4f65-9D91-7224C49458BB}"/>
          </c:extLst>
        </c:dLbl>
      </c:pivotFmt>
      <c:pivotFmt>
        <c:idx val="10"/>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1"/>
          <c:showPercent val="0"/>
          <c:showBubbleSize val="0"/>
          <c:extLst>
            <c:ext xmlns:c15="http://schemas.microsoft.com/office/drawing/2012/chart" uri="{CE6537A1-D6FC-4f65-9D91-7224C49458BB}"/>
          </c:extLst>
        </c:dLbl>
      </c:pivotFmt>
      <c:pivotFmt>
        <c:idx val="11"/>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12"/>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1"/>
          <c:showPercent val="0"/>
          <c:showBubbleSize val="0"/>
          <c:extLst>
            <c:ext xmlns:c15="http://schemas.microsoft.com/office/drawing/2012/chart" uri="{CE6537A1-D6FC-4f65-9D91-7224C49458BB}"/>
          </c:extLst>
        </c:dLbl>
      </c:pivotFmt>
      <c:pivotFmt>
        <c:idx val="13"/>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1"/>
          <c:showPercent val="0"/>
          <c:showBubbleSize val="0"/>
          <c:extLst>
            <c:ext xmlns:c15="http://schemas.microsoft.com/office/drawing/2012/chart" uri="{CE6537A1-D6FC-4f65-9D91-7224C49458BB}"/>
          </c:extLst>
        </c:dLbl>
      </c:pivotFmt>
      <c:pivotFmt>
        <c:idx val="14"/>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1"/>
          <c:showPercent val="0"/>
          <c:showBubbleSize val="0"/>
          <c:extLst>
            <c:ext xmlns:c15="http://schemas.microsoft.com/office/drawing/2012/chart" uri="{CE6537A1-D6FC-4f65-9D91-7224C49458BB}"/>
          </c:extLst>
        </c:dLbl>
      </c:pivotFmt>
      <c:pivotFmt>
        <c:idx val="15"/>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1"/>
          <c:showPercent val="0"/>
          <c:showBubbleSize val="0"/>
          <c:extLst>
            <c:ext xmlns:c15="http://schemas.microsoft.com/office/drawing/2012/chart" uri="{CE6537A1-D6FC-4f65-9D91-7224C49458BB}"/>
          </c:extLst>
        </c:dLbl>
      </c:pivotFmt>
      <c:pivotFmt>
        <c:idx val="16"/>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17"/>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1"/>
          <c:showPercent val="0"/>
          <c:showBubbleSize val="0"/>
          <c:extLst>
            <c:ext xmlns:c15="http://schemas.microsoft.com/office/drawing/2012/chart" uri="{CE6537A1-D6FC-4f65-9D91-7224C49458BB}"/>
          </c:extLst>
        </c:dLbl>
      </c:pivotFmt>
      <c:pivotFmt>
        <c:idx val="18"/>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1"/>
          <c:showPercent val="0"/>
          <c:showBubbleSize val="0"/>
          <c:extLst>
            <c:ext xmlns:c15="http://schemas.microsoft.com/office/drawing/2012/chart" uri="{CE6537A1-D6FC-4f65-9D91-7224C49458BB}"/>
          </c:extLst>
        </c:dLbl>
      </c:pivotFmt>
      <c:pivotFmt>
        <c:idx val="19"/>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inEnd"/>
          <c:showLegendKey val="0"/>
          <c:showVal val="1"/>
          <c:showCatName val="0"/>
          <c:showSerName val="1"/>
          <c:showPercent val="0"/>
          <c:showBubbleSize val="0"/>
          <c:extLst>
            <c:ext xmlns:c15="http://schemas.microsoft.com/office/drawing/2012/chart" uri="{CE6537A1-D6FC-4f65-9D91-7224C49458BB}"/>
          </c:extLst>
        </c:dLbl>
      </c:pivotFmt>
      <c:pivotFmt>
        <c:idx val="20"/>
        <c:spPr>
          <a:noFill/>
          <a:ln w="9525" cap="flat" cmpd="sng" algn="ctr">
            <a:solidFill>
              <a:schemeClr val="accent1"/>
            </a:solidFill>
            <a:miter lim="800000"/>
          </a:ln>
          <a:effectLst>
            <a:glow rad="63500">
              <a:schemeClr val="accent1">
                <a:satMod val="175000"/>
                <a:alpha val="25000"/>
              </a:schemeClr>
            </a:glow>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
        <c:idx val="21"/>
        <c:spPr>
          <a:noFill/>
          <a:ln w="9525" cap="flat" cmpd="sng" algn="ctr">
            <a:solidFill>
              <a:schemeClr val="accent1"/>
            </a:solidFill>
            <a:miter lim="800000"/>
          </a:ln>
          <a:effectLst>
            <a:glow rad="63500">
              <a:schemeClr val="accent1">
                <a:satMod val="175000"/>
                <a:alpha val="25000"/>
              </a:schemeClr>
            </a:glow>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
        <c:idx val="22"/>
        <c:spPr>
          <a:noFill/>
          <a:ln w="9525" cap="flat" cmpd="sng" algn="ctr">
            <a:solidFill>
              <a:schemeClr val="accent1"/>
            </a:solidFill>
            <a:miter lim="800000"/>
          </a:ln>
          <a:effectLst>
            <a:glow rad="63500">
              <a:schemeClr val="accent1">
                <a:satMod val="175000"/>
                <a:alpha val="25000"/>
              </a:schemeClr>
            </a:glow>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
        <c:idx val="23"/>
        <c:spPr>
          <a:noFill/>
          <a:ln w="9525" cap="flat" cmpd="sng" algn="ctr">
            <a:solidFill>
              <a:schemeClr val="accent1"/>
            </a:solidFill>
            <a:miter lim="800000"/>
          </a:ln>
          <a:effectLst>
            <a:glow rad="63500">
              <a:schemeClr val="accent1">
                <a:satMod val="175000"/>
                <a:alpha val="25000"/>
              </a:schemeClr>
            </a:glow>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ext>
          </c:extLst>
        </c:dLbl>
      </c:pivotFmt>
      <c:pivotFmt>
        <c:idx val="24"/>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Pvt_DTeam!$B$4</c:f>
              <c:strCache>
                <c:ptCount val="1"/>
                <c:pt idx="0">
                  <c:v>AveGs</c:v>
                </c:pt>
              </c:strCache>
            </c:strRef>
          </c:tx>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lt1">
                          <a:lumMod val="50000"/>
                        </a:schemeClr>
                      </a:solidFill>
                      <a:round/>
                    </a:ln>
                    <a:effectLst/>
                  </c:spPr>
                </c15:leaderLines>
              </c:ext>
            </c:extLst>
          </c:dLbls>
          <c:cat>
            <c:strRef>
              <c:f>Pvt_DTeam!$A$5:$A$9</c:f>
              <c:strCache>
                <c:ptCount val="4"/>
                <c:pt idx="0">
                  <c:v>Bryan Gist</c:v>
                </c:pt>
                <c:pt idx="1">
                  <c:v>Danny Birdsall</c:v>
                </c:pt>
                <c:pt idx="2">
                  <c:v>Ike Birdsall</c:v>
                </c:pt>
                <c:pt idx="3">
                  <c:v>James Wharton</c:v>
                </c:pt>
              </c:strCache>
            </c:strRef>
          </c:cat>
          <c:val>
            <c:numRef>
              <c:f>Pvt_DTeam!$B$5:$B$9</c:f>
              <c:numCache>
                <c:formatCode>0.0</c:formatCode>
                <c:ptCount val="4"/>
                <c:pt idx="0">
                  <c:v>89.333333333333329</c:v>
                </c:pt>
                <c:pt idx="1">
                  <c:v>91.166666666666671</c:v>
                </c:pt>
                <c:pt idx="2">
                  <c:v>101.16666666666667</c:v>
                </c:pt>
                <c:pt idx="3">
                  <c:v>92.666666666666671</c:v>
                </c:pt>
              </c:numCache>
            </c:numRef>
          </c:val>
        </c:ser>
        <c:ser>
          <c:idx val="1"/>
          <c:order val="1"/>
          <c:tx>
            <c:strRef>
              <c:f>Pvt_DTeam!$C$4</c:f>
              <c:strCache>
                <c:ptCount val="1"/>
                <c:pt idx="0">
                  <c:v>TotGs:Par</c:v>
                </c:pt>
              </c:strCache>
            </c:strRef>
          </c:tx>
          <c:spPr>
            <a:noFill/>
            <a:ln w="9525" cap="flat" cmpd="sng" algn="ctr">
              <a:solidFill>
                <a:schemeClr val="accent2"/>
              </a:solidFill>
              <a:miter lim="800000"/>
            </a:ln>
            <a:effectLst>
              <a:glow rad="63500">
                <a:schemeClr val="accent2">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lt1">
                          <a:lumMod val="50000"/>
                        </a:schemeClr>
                      </a:solidFill>
                      <a:round/>
                    </a:ln>
                    <a:effectLst/>
                  </c:spPr>
                </c15:leaderLines>
              </c:ext>
            </c:extLst>
          </c:dLbls>
          <c:cat>
            <c:strRef>
              <c:f>Pvt_DTeam!$A$5:$A$9</c:f>
              <c:strCache>
                <c:ptCount val="4"/>
                <c:pt idx="0">
                  <c:v>Bryan Gist</c:v>
                </c:pt>
                <c:pt idx="1">
                  <c:v>Danny Birdsall</c:v>
                </c:pt>
                <c:pt idx="2">
                  <c:v>Ike Birdsall</c:v>
                </c:pt>
                <c:pt idx="3">
                  <c:v>James Wharton</c:v>
                </c:pt>
              </c:strCache>
            </c:strRef>
          </c:cat>
          <c:val>
            <c:numRef>
              <c:f>Pvt_DTeam!$C$5:$C$9</c:f>
              <c:numCache>
                <c:formatCode>General</c:formatCode>
                <c:ptCount val="4"/>
                <c:pt idx="0">
                  <c:v>104</c:v>
                </c:pt>
                <c:pt idx="1">
                  <c:v>115</c:v>
                </c:pt>
                <c:pt idx="2">
                  <c:v>175</c:v>
                </c:pt>
                <c:pt idx="3">
                  <c:v>124</c:v>
                </c:pt>
              </c:numCache>
            </c:numRef>
          </c:val>
        </c:ser>
        <c:ser>
          <c:idx val="2"/>
          <c:order val="2"/>
          <c:tx>
            <c:strRef>
              <c:f>Pvt_DTeam!$D$4</c:f>
              <c:strCache>
                <c:ptCount val="1"/>
                <c:pt idx="0">
                  <c:v>AveNt</c:v>
                </c:pt>
              </c:strCache>
            </c:strRef>
          </c:tx>
          <c:spPr>
            <a:noFill/>
            <a:ln w="9525" cap="flat" cmpd="sng" algn="ctr">
              <a:solidFill>
                <a:schemeClr val="accent3"/>
              </a:solidFill>
              <a:miter lim="800000"/>
            </a:ln>
            <a:effectLst>
              <a:glow rad="63500">
                <a:schemeClr val="accent3">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lt1">
                          <a:lumMod val="50000"/>
                        </a:schemeClr>
                      </a:solidFill>
                      <a:round/>
                    </a:ln>
                    <a:effectLst/>
                  </c:spPr>
                </c15:leaderLines>
              </c:ext>
            </c:extLst>
          </c:dLbls>
          <c:cat>
            <c:strRef>
              <c:f>Pvt_DTeam!$A$5:$A$9</c:f>
              <c:strCache>
                <c:ptCount val="4"/>
                <c:pt idx="0">
                  <c:v>Bryan Gist</c:v>
                </c:pt>
                <c:pt idx="1">
                  <c:v>Danny Birdsall</c:v>
                </c:pt>
                <c:pt idx="2">
                  <c:v>Ike Birdsall</c:v>
                </c:pt>
                <c:pt idx="3">
                  <c:v>James Wharton</c:v>
                </c:pt>
              </c:strCache>
            </c:strRef>
          </c:cat>
          <c:val>
            <c:numRef>
              <c:f>Pvt_DTeam!$D$5:$D$9</c:f>
              <c:numCache>
                <c:formatCode>0.0</c:formatCode>
                <c:ptCount val="4"/>
                <c:pt idx="0">
                  <c:v>79.333333333333329</c:v>
                </c:pt>
                <c:pt idx="1">
                  <c:v>85.166666666666671</c:v>
                </c:pt>
                <c:pt idx="2">
                  <c:v>86.166666666666671</c:v>
                </c:pt>
                <c:pt idx="3">
                  <c:v>83.666666666666671</c:v>
                </c:pt>
              </c:numCache>
            </c:numRef>
          </c:val>
        </c:ser>
        <c:ser>
          <c:idx val="3"/>
          <c:order val="3"/>
          <c:tx>
            <c:strRef>
              <c:f>Pvt_DTeam!$E$4</c:f>
              <c:strCache>
                <c:ptCount val="1"/>
                <c:pt idx="0">
                  <c:v>TotNt:Par</c:v>
                </c:pt>
              </c:strCache>
            </c:strRef>
          </c:tx>
          <c:spPr>
            <a:noFill/>
            <a:ln w="9525" cap="flat" cmpd="sng" algn="ctr">
              <a:solidFill>
                <a:schemeClr val="accent4"/>
              </a:solidFill>
              <a:miter lim="800000"/>
            </a:ln>
            <a:effectLst>
              <a:glow rad="63500">
                <a:schemeClr val="accent4">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lt1">
                          <a:lumMod val="50000"/>
                        </a:schemeClr>
                      </a:solidFill>
                      <a:round/>
                    </a:ln>
                    <a:effectLst/>
                  </c:spPr>
                </c15:leaderLines>
              </c:ext>
            </c:extLst>
          </c:dLbls>
          <c:cat>
            <c:strRef>
              <c:f>Pvt_DTeam!$A$5:$A$9</c:f>
              <c:strCache>
                <c:ptCount val="4"/>
                <c:pt idx="0">
                  <c:v>Bryan Gist</c:v>
                </c:pt>
                <c:pt idx="1">
                  <c:v>Danny Birdsall</c:v>
                </c:pt>
                <c:pt idx="2">
                  <c:v>Ike Birdsall</c:v>
                </c:pt>
                <c:pt idx="3">
                  <c:v>James Wharton</c:v>
                </c:pt>
              </c:strCache>
            </c:strRef>
          </c:cat>
          <c:val>
            <c:numRef>
              <c:f>Pvt_DTeam!$E$5:$E$9</c:f>
              <c:numCache>
                <c:formatCode>General</c:formatCode>
                <c:ptCount val="4"/>
                <c:pt idx="0">
                  <c:v>44</c:v>
                </c:pt>
                <c:pt idx="1">
                  <c:v>79</c:v>
                </c:pt>
                <c:pt idx="2">
                  <c:v>85</c:v>
                </c:pt>
                <c:pt idx="3">
                  <c:v>70</c:v>
                </c:pt>
              </c:numCache>
            </c:numRef>
          </c:val>
        </c:ser>
        <c:dLbls>
          <c:dLblPos val="outEnd"/>
          <c:showLegendKey val="0"/>
          <c:showVal val="1"/>
          <c:showCatName val="0"/>
          <c:showSerName val="0"/>
          <c:showPercent val="0"/>
          <c:showBubbleSize val="0"/>
        </c:dLbls>
        <c:gapWidth val="182"/>
        <c:overlap val="-50"/>
        <c:axId val="358540816"/>
        <c:axId val="358540032"/>
      </c:barChart>
      <c:catAx>
        <c:axId val="358540816"/>
        <c:scaling>
          <c:orientation val="minMax"/>
        </c:scaling>
        <c:delete val="0"/>
        <c:axPos val="l"/>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lt1">
                    <a:lumMod val="75000"/>
                  </a:schemeClr>
                </a:solidFill>
                <a:latin typeface="+mn-lt"/>
                <a:ea typeface="+mn-ea"/>
                <a:cs typeface="+mn-cs"/>
              </a:defRPr>
            </a:pPr>
            <a:endParaRPr lang="en-US"/>
          </a:p>
        </c:txPr>
        <c:crossAx val="358540032"/>
        <c:crosses val="autoZero"/>
        <c:auto val="1"/>
        <c:lblAlgn val="ctr"/>
        <c:lblOffset val="100"/>
        <c:noMultiLvlLbl val="0"/>
      </c:catAx>
      <c:valAx>
        <c:axId val="358540032"/>
        <c:scaling>
          <c:orientation val="minMax"/>
        </c:scaling>
        <c:delete val="0"/>
        <c:axPos val="b"/>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3585408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legend>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Series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339">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dk1">
                <a:lumMod val="65000"/>
                <a:lumOff val="35000"/>
              </a:schemeClr>
            </a:gs>
            <a:gs pos="100000">
              <a:schemeClr val="dk1">
                <a:lumMod val="75000"/>
                <a:lumOff val="25000"/>
              </a:schemeClr>
            </a:gs>
          </a:gsLst>
          <a:lin ang="10800000" scaled="0"/>
        </a:gradFill>
        <a:round/>
      </a:ln>
      <a:effectLst/>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339">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dk1">
                <a:lumMod val="65000"/>
                <a:lumOff val="35000"/>
              </a:schemeClr>
            </a:gs>
            <a:gs pos="100000">
              <a:schemeClr val="dk1">
                <a:lumMod val="75000"/>
                <a:lumOff val="25000"/>
              </a:schemeClr>
            </a:gs>
          </a:gsLst>
          <a:lin ang="10800000" scaled="0"/>
        </a:gradFill>
        <a:round/>
      </a:ln>
      <a:effectLst/>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39">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dk1">
                <a:lumMod val="65000"/>
                <a:lumOff val="35000"/>
              </a:schemeClr>
            </a:gs>
            <a:gs pos="100000">
              <a:schemeClr val="dk1">
                <a:lumMod val="75000"/>
                <a:lumOff val="25000"/>
              </a:schemeClr>
            </a:gs>
          </a:gsLst>
          <a:lin ang="10800000" scaled="0"/>
        </a:gradFill>
        <a:round/>
      </a:ln>
      <a:effectLst/>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9072</xdr:colOff>
      <xdr:row>2</xdr:row>
      <xdr:rowOff>9071</xdr:rowOff>
    </xdr:from>
    <xdr:to>
      <xdr:col>12</xdr:col>
      <xdr:colOff>0</xdr:colOff>
      <xdr:row>16</xdr:row>
      <xdr:rowOff>174171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182562</xdr:colOff>
      <xdr:row>18</xdr:row>
      <xdr:rowOff>0</xdr:rowOff>
    </xdr:from>
    <xdr:to>
      <xdr:col>11</xdr:col>
      <xdr:colOff>595313</xdr:colOff>
      <xdr:row>40</xdr:row>
      <xdr:rowOff>15875</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158750</xdr:colOff>
      <xdr:row>63</xdr:row>
      <xdr:rowOff>174625</xdr:rowOff>
    </xdr:from>
    <xdr:to>
      <xdr:col>11</xdr:col>
      <xdr:colOff>571500</xdr:colOff>
      <xdr:row>85</xdr:row>
      <xdr:rowOff>150813</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172808</xdr:colOff>
      <xdr:row>40</xdr:row>
      <xdr:rowOff>175758</xdr:rowOff>
    </xdr:from>
    <xdr:to>
      <xdr:col>11</xdr:col>
      <xdr:colOff>591910</xdr:colOff>
      <xdr:row>63</xdr:row>
      <xdr:rowOff>21317</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Eric Newsome" refreshedDate="42145.771953124997" createdVersion="5" refreshedVersion="5" minRefreshableVersion="3" recordCount="96">
  <cacheSource type="worksheet">
    <worksheetSource name="Table1"/>
  </cacheSource>
  <cacheFields count="9">
    <cacheField name="Player" numFmtId="0">
      <sharedItems count="12">
        <s v="Billy Newsome"/>
        <s v="Bryan Gist"/>
        <s v="Chris Webb"/>
        <s v="Danny Birdsall"/>
        <s v="Eric Newsome"/>
        <s v="Ike Birdsall"/>
        <s v="James Wharton"/>
        <s v="Jason Powers"/>
        <s v="Matt Trumbo"/>
        <s v="Mike Hibbs"/>
        <s v="Rob Craig"/>
        <s v="Trey Liebenrood"/>
      </sharedItems>
    </cacheField>
    <cacheField name="Team" numFmtId="0">
      <sharedItems count="3">
        <s v="Eric"/>
        <s v="Danny"/>
        <s v="Matt"/>
      </sharedItems>
    </cacheField>
    <cacheField name="Index" numFmtId="0">
      <sharedItems containsSemiMixedTypes="0" containsString="0" containsNumber="1" containsInteger="1" minValue="3" maxValue="16"/>
    </cacheField>
    <cacheField name="Round" numFmtId="0">
      <sharedItems containsSemiMixedTypes="0" containsString="0" containsNumber="1" containsInteger="1" minValue="1" maxValue="8" count="8">
        <n v="1"/>
        <n v="2"/>
        <n v="3"/>
        <n v="6"/>
        <n v="7"/>
        <n v="8"/>
        <n v="4"/>
        <n v="5"/>
      </sharedItems>
    </cacheField>
    <cacheField name="Gross" numFmtId="0">
      <sharedItems containsSemiMixedTypes="0" containsString="0" containsNumber="1" containsInteger="1" minValue="0" maxValue="161"/>
    </cacheField>
    <cacheField name="Gs2PAR" numFmtId="0">
      <sharedItems containsSemiMixedTypes="0" containsString="0" containsNumber="1" containsInteger="1" minValue="0" maxValue="89"/>
    </cacheField>
    <cacheField name="Net" numFmtId="0">
      <sharedItems containsSemiMixedTypes="0" containsString="0" containsNumber="1" containsInteger="1" minValue="0" maxValue="145"/>
    </cacheField>
    <cacheField name="Nt2PAR" numFmtId="0">
      <sharedItems containsSemiMixedTypes="0" containsString="0" containsNumber="1" containsInteger="1" minValue="-1" maxValue="73"/>
    </cacheField>
    <cacheField name="CupPts" numFmtId="0">
      <sharedItems containsSemiMixedTypes="0" containsString="0" containsNumber="1" minValue="0" maxValue="2"/>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96">
  <r>
    <x v="0"/>
    <x v="0"/>
    <n v="15"/>
    <x v="0"/>
    <n v="113"/>
    <n v="41"/>
    <n v="98"/>
    <n v="26"/>
    <n v="0"/>
  </r>
  <r>
    <x v="0"/>
    <x v="0"/>
    <n v="15"/>
    <x v="1"/>
    <n v="129"/>
    <n v="57"/>
    <n v="114"/>
    <n v="42"/>
    <n v="0"/>
  </r>
  <r>
    <x v="0"/>
    <x v="0"/>
    <n v="15"/>
    <x v="2"/>
    <n v="119"/>
    <n v="47"/>
    <n v="104"/>
    <n v="32"/>
    <n v="0"/>
  </r>
  <r>
    <x v="0"/>
    <x v="0"/>
    <n v="15"/>
    <x v="3"/>
    <n v="121"/>
    <n v="49"/>
    <n v="106"/>
    <n v="34"/>
    <n v="0"/>
  </r>
  <r>
    <x v="0"/>
    <x v="0"/>
    <n v="15"/>
    <x v="4"/>
    <n v="121"/>
    <n v="49"/>
    <n v="106"/>
    <n v="34"/>
    <n v="0"/>
  </r>
  <r>
    <x v="0"/>
    <x v="0"/>
    <n v="15"/>
    <x v="5"/>
    <n v="125"/>
    <n v="53"/>
    <n v="110"/>
    <n v="38"/>
    <n v="0"/>
  </r>
  <r>
    <x v="1"/>
    <x v="1"/>
    <n v="10"/>
    <x v="0"/>
    <n v="89"/>
    <n v="17"/>
    <n v="79"/>
    <n v="7"/>
    <n v="0"/>
  </r>
  <r>
    <x v="1"/>
    <x v="1"/>
    <n v="10"/>
    <x v="1"/>
    <n v="96"/>
    <n v="24"/>
    <n v="86"/>
    <n v="14"/>
    <n v="1"/>
  </r>
  <r>
    <x v="1"/>
    <x v="1"/>
    <n v="10"/>
    <x v="2"/>
    <n v="91"/>
    <n v="19"/>
    <n v="81"/>
    <n v="9"/>
    <n v="1"/>
  </r>
  <r>
    <x v="1"/>
    <x v="1"/>
    <n v="10"/>
    <x v="3"/>
    <n v="90"/>
    <n v="18"/>
    <n v="80"/>
    <n v="8"/>
    <n v="0"/>
  </r>
  <r>
    <x v="1"/>
    <x v="1"/>
    <n v="10"/>
    <x v="4"/>
    <n v="85"/>
    <n v="13"/>
    <n v="75"/>
    <n v="3"/>
    <n v="1"/>
  </r>
  <r>
    <x v="1"/>
    <x v="1"/>
    <n v="10"/>
    <x v="5"/>
    <n v="85"/>
    <n v="13"/>
    <n v="75"/>
    <n v="3"/>
    <n v="0"/>
  </r>
  <r>
    <x v="2"/>
    <x v="2"/>
    <n v="16"/>
    <x v="0"/>
    <n v="98"/>
    <n v="26"/>
    <n v="82"/>
    <n v="10"/>
    <n v="0"/>
  </r>
  <r>
    <x v="2"/>
    <x v="2"/>
    <n v="16"/>
    <x v="1"/>
    <n v="106"/>
    <n v="34"/>
    <n v="90"/>
    <n v="18"/>
    <n v="0"/>
  </r>
  <r>
    <x v="2"/>
    <x v="2"/>
    <n v="16"/>
    <x v="2"/>
    <n v="98"/>
    <n v="26"/>
    <n v="82"/>
    <n v="10"/>
    <n v="0"/>
  </r>
  <r>
    <x v="2"/>
    <x v="2"/>
    <n v="16"/>
    <x v="3"/>
    <n v="94"/>
    <n v="22"/>
    <n v="78"/>
    <n v="6"/>
    <n v="1"/>
  </r>
  <r>
    <x v="2"/>
    <x v="2"/>
    <n v="16"/>
    <x v="4"/>
    <n v="100"/>
    <n v="28"/>
    <n v="84"/>
    <n v="12"/>
    <n v="1"/>
  </r>
  <r>
    <x v="2"/>
    <x v="2"/>
    <n v="16"/>
    <x v="5"/>
    <n v="161"/>
    <n v="89"/>
    <n v="145"/>
    <n v="73"/>
    <n v="0"/>
  </r>
  <r>
    <x v="3"/>
    <x v="1"/>
    <n v="6"/>
    <x v="0"/>
    <n v="93"/>
    <n v="21"/>
    <n v="87"/>
    <n v="15"/>
    <n v="0"/>
  </r>
  <r>
    <x v="3"/>
    <x v="1"/>
    <n v="6"/>
    <x v="1"/>
    <n v="94"/>
    <n v="22"/>
    <n v="88"/>
    <n v="16"/>
    <n v="0"/>
  </r>
  <r>
    <x v="3"/>
    <x v="1"/>
    <n v="6"/>
    <x v="2"/>
    <n v="90"/>
    <n v="18"/>
    <n v="84"/>
    <n v="12"/>
    <n v="1"/>
  </r>
  <r>
    <x v="3"/>
    <x v="1"/>
    <n v="6"/>
    <x v="3"/>
    <n v="88"/>
    <n v="16"/>
    <n v="82"/>
    <n v="10"/>
    <n v="0"/>
  </r>
  <r>
    <x v="3"/>
    <x v="1"/>
    <n v="6"/>
    <x v="4"/>
    <n v="95"/>
    <n v="23"/>
    <n v="89"/>
    <n v="17"/>
    <n v="0"/>
  </r>
  <r>
    <x v="3"/>
    <x v="1"/>
    <n v="6"/>
    <x v="5"/>
    <n v="87"/>
    <n v="15"/>
    <n v="81"/>
    <n v="9"/>
    <n v="0"/>
  </r>
  <r>
    <x v="4"/>
    <x v="0"/>
    <n v="6"/>
    <x v="0"/>
    <n v="85"/>
    <n v="13"/>
    <n v="79"/>
    <n v="7"/>
    <n v="0"/>
  </r>
  <r>
    <x v="4"/>
    <x v="0"/>
    <n v="6"/>
    <x v="1"/>
    <n v="99"/>
    <n v="27"/>
    <n v="93"/>
    <n v="21"/>
    <n v="0"/>
  </r>
  <r>
    <x v="4"/>
    <x v="0"/>
    <n v="6"/>
    <x v="2"/>
    <n v="91"/>
    <n v="19"/>
    <n v="85"/>
    <n v="13"/>
    <n v="0"/>
  </r>
  <r>
    <x v="4"/>
    <x v="0"/>
    <n v="6"/>
    <x v="3"/>
    <n v="90"/>
    <n v="18"/>
    <n v="84"/>
    <n v="12"/>
    <n v="0"/>
  </r>
  <r>
    <x v="4"/>
    <x v="0"/>
    <n v="6"/>
    <x v="4"/>
    <n v="93"/>
    <n v="21"/>
    <n v="87"/>
    <n v="15"/>
    <n v="1"/>
  </r>
  <r>
    <x v="4"/>
    <x v="0"/>
    <n v="6"/>
    <x v="5"/>
    <n v="89"/>
    <n v="17"/>
    <n v="83"/>
    <n v="11"/>
    <n v="0"/>
  </r>
  <r>
    <x v="5"/>
    <x v="1"/>
    <n v="15"/>
    <x v="0"/>
    <n v="95"/>
    <n v="23"/>
    <n v="80"/>
    <n v="8"/>
    <n v="0"/>
  </r>
  <r>
    <x v="5"/>
    <x v="1"/>
    <n v="15"/>
    <x v="1"/>
    <n v="104"/>
    <n v="32"/>
    <n v="89"/>
    <n v="17"/>
    <n v="1"/>
  </r>
  <r>
    <x v="5"/>
    <x v="1"/>
    <n v="15"/>
    <x v="2"/>
    <n v="115"/>
    <n v="43"/>
    <n v="100"/>
    <n v="28"/>
    <n v="0"/>
  </r>
  <r>
    <x v="5"/>
    <x v="1"/>
    <n v="15"/>
    <x v="3"/>
    <n v="91"/>
    <n v="19"/>
    <n v="76"/>
    <n v="4"/>
    <n v="1"/>
  </r>
  <r>
    <x v="5"/>
    <x v="1"/>
    <n v="15"/>
    <x v="4"/>
    <n v="100"/>
    <n v="28"/>
    <n v="85"/>
    <n v="13"/>
    <n v="1"/>
  </r>
  <r>
    <x v="5"/>
    <x v="1"/>
    <n v="15"/>
    <x v="5"/>
    <n v="102"/>
    <n v="30"/>
    <n v="87"/>
    <n v="15"/>
    <n v="0"/>
  </r>
  <r>
    <x v="0"/>
    <x v="0"/>
    <n v="15"/>
    <x v="6"/>
    <n v="0"/>
    <n v="0"/>
    <n v="0"/>
    <n v="0"/>
    <n v="0"/>
  </r>
  <r>
    <x v="1"/>
    <x v="1"/>
    <n v="10"/>
    <x v="6"/>
    <n v="0"/>
    <n v="0"/>
    <n v="0"/>
    <n v="0"/>
    <n v="1"/>
  </r>
  <r>
    <x v="2"/>
    <x v="2"/>
    <n v="16"/>
    <x v="6"/>
    <n v="0"/>
    <n v="0"/>
    <n v="0"/>
    <n v="0"/>
    <n v="0.5"/>
  </r>
  <r>
    <x v="3"/>
    <x v="1"/>
    <n v="6"/>
    <x v="6"/>
    <n v="0"/>
    <n v="0"/>
    <n v="0"/>
    <n v="0"/>
    <n v="0"/>
  </r>
  <r>
    <x v="4"/>
    <x v="0"/>
    <n v="6"/>
    <x v="6"/>
    <n v="0"/>
    <n v="0"/>
    <n v="0"/>
    <n v="0"/>
    <n v="0"/>
  </r>
  <r>
    <x v="5"/>
    <x v="1"/>
    <n v="15"/>
    <x v="6"/>
    <n v="0"/>
    <n v="0"/>
    <n v="0"/>
    <n v="0"/>
    <n v="0"/>
  </r>
  <r>
    <x v="6"/>
    <x v="1"/>
    <n v="9"/>
    <x v="6"/>
    <n v="0"/>
    <n v="0"/>
    <n v="0"/>
    <n v="0"/>
    <n v="1"/>
  </r>
  <r>
    <x v="7"/>
    <x v="0"/>
    <n v="10"/>
    <x v="6"/>
    <n v="0"/>
    <n v="0"/>
    <n v="0"/>
    <n v="0"/>
    <n v="1.5"/>
  </r>
  <r>
    <x v="8"/>
    <x v="2"/>
    <n v="6"/>
    <x v="6"/>
    <n v="0"/>
    <n v="0"/>
    <n v="0"/>
    <n v="0"/>
    <n v="2"/>
  </r>
  <r>
    <x v="9"/>
    <x v="2"/>
    <n v="16"/>
    <x v="6"/>
    <n v="0"/>
    <n v="0"/>
    <n v="0"/>
    <n v="0"/>
    <n v="2"/>
  </r>
  <r>
    <x v="10"/>
    <x v="2"/>
    <n v="3"/>
    <x v="6"/>
    <n v="0"/>
    <n v="0"/>
    <n v="0"/>
    <n v="0"/>
    <n v="0.5"/>
  </r>
  <r>
    <x v="11"/>
    <x v="0"/>
    <n v="14"/>
    <x v="6"/>
    <n v="0"/>
    <n v="0"/>
    <n v="0"/>
    <n v="0"/>
    <n v="1.5"/>
  </r>
  <r>
    <x v="0"/>
    <x v="0"/>
    <n v="15"/>
    <x v="7"/>
    <n v="0"/>
    <n v="0"/>
    <n v="0"/>
    <n v="0"/>
    <n v="0"/>
  </r>
  <r>
    <x v="1"/>
    <x v="1"/>
    <n v="10"/>
    <x v="7"/>
    <n v="0"/>
    <n v="0"/>
    <n v="0"/>
    <n v="0"/>
    <n v="0"/>
  </r>
  <r>
    <x v="2"/>
    <x v="2"/>
    <n v="16"/>
    <x v="7"/>
    <n v="0"/>
    <n v="0"/>
    <n v="0"/>
    <n v="0"/>
    <n v="0"/>
  </r>
  <r>
    <x v="3"/>
    <x v="1"/>
    <n v="6"/>
    <x v="7"/>
    <n v="0"/>
    <n v="0"/>
    <n v="0"/>
    <n v="0"/>
    <n v="0"/>
  </r>
  <r>
    <x v="4"/>
    <x v="0"/>
    <n v="6"/>
    <x v="7"/>
    <n v="0"/>
    <n v="0"/>
    <n v="0"/>
    <n v="0"/>
    <n v="0"/>
  </r>
  <r>
    <x v="5"/>
    <x v="1"/>
    <n v="15"/>
    <x v="7"/>
    <n v="0"/>
    <n v="0"/>
    <n v="0"/>
    <n v="0"/>
    <n v="0"/>
  </r>
  <r>
    <x v="6"/>
    <x v="1"/>
    <n v="9"/>
    <x v="7"/>
    <n v="0"/>
    <n v="0"/>
    <n v="0"/>
    <n v="0"/>
    <n v="0"/>
  </r>
  <r>
    <x v="7"/>
    <x v="0"/>
    <n v="10"/>
    <x v="7"/>
    <n v="0"/>
    <n v="0"/>
    <n v="0"/>
    <n v="0"/>
    <n v="0"/>
  </r>
  <r>
    <x v="8"/>
    <x v="2"/>
    <n v="6"/>
    <x v="7"/>
    <n v="0"/>
    <n v="0"/>
    <n v="0"/>
    <n v="0"/>
    <n v="0"/>
  </r>
  <r>
    <x v="9"/>
    <x v="2"/>
    <n v="16"/>
    <x v="7"/>
    <n v="0"/>
    <n v="0"/>
    <n v="0"/>
    <n v="0"/>
    <n v="0"/>
  </r>
  <r>
    <x v="10"/>
    <x v="2"/>
    <n v="3"/>
    <x v="7"/>
    <n v="0"/>
    <n v="0"/>
    <n v="0"/>
    <n v="0"/>
    <n v="0"/>
  </r>
  <r>
    <x v="11"/>
    <x v="0"/>
    <n v="14"/>
    <x v="7"/>
    <n v="0"/>
    <n v="0"/>
    <n v="0"/>
    <n v="0"/>
    <n v="0"/>
  </r>
  <r>
    <x v="6"/>
    <x v="1"/>
    <n v="9"/>
    <x v="0"/>
    <n v="92"/>
    <n v="20"/>
    <n v="83"/>
    <n v="11"/>
    <n v="0"/>
  </r>
  <r>
    <x v="6"/>
    <x v="1"/>
    <n v="9"/>
    <x v="1"/>
    <n v="97"/>
    <n v="25"/>
    <n v="88"/>
    <n v="16"/>
    <n v="0"/>
  </r>
  <r>
    <x v="6"/>
    <x v="1"/>
    <n v="9"/>
    <x v="2"/>
    <n v="95"/>
    <n v="23"/>
    <n v="86"/>
    <n v="14"/>
    <n v="0"/>
  </r>
  <r>
    <x v="6"/>
    <x v="1"/>
    <n v="9"/>
    <x v="3"/>
    <n v="93"/>
    <n v="21"/>
    <n v="84"/>
    <n v="12"/>
    <n v="0"/>
  </r>
  <r>
    <x v="6"/>
    <x v="1"/>
    <n v="9"/>
    <x v="4"/>
    <n v="99"/>
    <n v="27"/>
    <n v="90"/>
    <n v="18"/>
    <n v="0"/>
  </r>
  <r>
    <x v="6"/>
    <x v="1"/>
    <n v="9"/>
    <x v="5"/>
    <n v="80"/>
    <n v="8"/>
    <n v="71"/>
    <n v="-1"/>
    <n v="0"/>
  </r>
  <r>
    <x v="7"/>
    <x v="0"/>
    <n v="10"/>
    <x v="0"/>
    <n v="94"/>
    <n v="22"/>
    <n v="84"/>
    <n v="12"/>
    <n v="0"/>
  </r>
  <r>
    <x v="7"/>
    <x v="0"/>
    <n v="10"/>
    <x v="1"/>
    <n v="96"/>
    <n v="24"/>
    <n v="86"/>
    <n v="14"/>
    <n v="1"/>
  </r>
  <r>
    <x v="7"/>
    <x v="0"/>
    <n v="10"/>
    <x v="2"/>
    <n v="88"/>
    <n v="16"/>
    <n v="78"/>
    <n v="6"/>
    <n v="2"/>
  </r>
  <r>
    <x v="7"/>
    <x v="0"/>
    <n v="10"/>
    <x v="3"/>
    <n v="82"/>
    <n v="10"/>
    <n v="72"/>
    <n v="0"/>
    <n v="1"/>
  </r>
  <r>
    <x v="7"/>
    <x v="0"/>
    <n v="10"/>
    <x v="4"/>
    <n v="90"/>
    <n v="18"/>
    <n v="80"/>
    <n v="8"/>
    <n v="1"/>
  </r>
  <r>
    <x v="7"/>
    <x v="0"/>
    <n v="10"/>
    <x v="5"/>
    <n v="106"/>
    <n v="34"/>
    <n v="96"/>
    <n v="24"/>
    <n v="0"/>
  </r>
  <r>
    <x v="8"/>
    <x v="2"/>
    <n v="6"/>
    <x v="0"/>
    <n v="86"/>
    <n v="14"/>
    <n v="80"/>
    <n v="8"/>
    <n v="0"/>
  </r>
  <r>
    <x v="8"/>
    <x v="2"/>
    <n v="6"/>
    <x v="1"/>
    <n v="87"/>
    <n v="15"/>
    <n v="81"/>
    <n v="9"/>
    <n v="2"/>
  </r>
  <r>
    <x v="8"/>
    <x v="2"/>
    <n v="6"/>
    <x v="2"/>
    <n v="87"/>
    <n v="15"/>
    <n v="81"/>
    <n v="9"/>
    <n v="1"/>
  </r>
  <r>
    <x v="8"/>
    <x v="2"/>
    <n v="6"/>
    <x v="3"/>
    <n v="79"/>
    <n v="7"/>
    <n v="73"/>
    <n v="1"/>
    <n v="1"/>
  </r>
  <r>
    <x v="8"/>
    <x v="2"/>
    <n v="6"/>
    <x v="4"/>
    <n v="85"/>
    <n v="13"/>
    <n v="79"/>
    <n v="7"/>
    <n v="1"/>
  </r>
  <r>
    <x v="8"/>
    <x v="2"/>
    <n v="6"/>
    <x v="5"/>
    <n v="86"/>
    <n v="14"/>
    <n v="80"/>
    <n v="8"/>
    <n v="0"/>
  </r>
  <r>
    <x v="9"/>
    <x v="2"/>
    <n v="16"/>
    <x v="0"/>
    <n v="97"/>
    <n v="25"/>
    <n v="81"/>
    <n v="9"/>
    <n v="0"/>
  </r>
  <r>
    <x v="9"/>
    <x v="2"/>
    <n v="16"/>
    <x v="1"/>
    <n v="103"/>
    <n v="31"/>
    <n v="87"/>
    <n v="15"/>
    <n v="0"/>
  </r>
  <r>
    <x v="9"/>
    <x v="2"/>
    <n v="16"/>
    <x v="2"/>
    <n v="97"/>
    <n v="25"/>
    <n v="81"/>
    <n v="9"/>
    <n v="2"/>
  </r>
  <r>
    <x v="9"/>
    <x v="2"/>
    <n v="16"/>
    <x v="3"/>
    <n v="99"/>
    <n v="27"/>
    <n v="83"/>
    <n v="11"/>
    <n v="0"/>
  </r>
  <r>
    <x v="9"/>
    <x v="2"/>
    <n v="16"/>
    <x v="4"/>
    <n v="100"/>
    <n v="28"/>
    <n v="84"/>
    <n v="12"/>
    <n v="0"/>
  </r>
  <r>
    <x v="9"/>
    <x v="2"/>
    <n v="16"/>
    <x v="5"/>
    <n v="100"/>
    <n v="28"/>
    <n v="84"/>
    <n v="12"/>
    <n v="0"/>
  </r>
  <r>
    <x v="10"/>
    <x v="2"/>
    <n v="3"/>
    <x v="0"/>
    <n v="86"/>
    <n v="14"/>
    <n v="83"/>
    <n v="11"/>
    <n v="0"/>
  </r>
  <r>
    <x v="10"/>
    <x v="2"/>
    <n v="3"/>
    <x v="1"/>
    <n v="82"/>
    <n v="10"/>
    <n v="79"/>
    <n v="7"/>
    <n v="2"/>
  </r>
  <r>
    <x v="10"/>
    <x v="2"/>
    <n v="3"/>
    <x v="2"/>
    <n v="87"/>
    <n v="15"/>
    <n v="84"/>
    <n v="12"/>
    <n v="0"/>
  </r>
  <r>
    <x v="10"/>
    <x v="2"/>
    <n v="3"/>
    <x v="3"/>
    <n v="82"/>
    <n v="10"/>
    <n v="79"/>
    <n v="7"/>
    <n v="1"/>
  </r>
  <r>
    <x v="10"/>
    <x v="2"/>
    <n v="3"/>
    <x v="4"/>
    <n v="85"/>
    <n v="13"/>
    <n v="82"/>
    <n v="10"/>
    <n v="0"/>
  </r>
  <r>
    <x v="10"/>
    <x v="2"/>
    <n v="3"/>
    <x v="5"/>
    <n v="81"/>
    <n v="9"/>
    <n v="78"/>
    <n v="6"/>
    <n v="0"/>
  </r>
  <r>
    <x v="11"/>
    <x v="0"/>
    <n v="14"/>
    <x v="0"/>
    <n v="99"/>
    <n v="27"/>
    <n v="85"/>
    <n v="13"/>
    <n v="0"/>
  </r>
  <r>
    <x v="11"/>
    <x v="0"/>
    <n v="14"/>
    <x v="1"/>
    <n v="92"/>
    <n v="20"/>
    <n v="78"/>
    <n v="6"/>
    <n v="2"/>
  </r>
  <r>
    <x v="11"/>
    <x v="0"/>
    <n v="14"/>
    <x v="2"/>
    <n v="100"/>
    <n v="28"/>
    <n v="86"/>
    <n v="14"/>
    <n v="2"/>
  </r>
  <r>
    <x v="11"/>
    <x v="0"/>
    <n v="14"/>
    <x v="3"/>
    <n v="94"/>
    <n v="22"/>
    <n v="80"/>
    <n v="8"/>
    <n v="1"/>
  </r>
  <r>
    <x v="11"/>
    <x v="0"/>
    <n v="14"/>
    <x v="4"/>
    <n v="107"/>
    <n v="35"/>
    <n v="93"/>
    <n v="21"/>
    <n v="0"/>
  </r>
  <r>
    <x v="11"/>
    <x v="0"/>
    <n v="14"/>
    <x v="5"/>
    <n v="106"/>
    <n v="34"/>
    <n v="92"/>
    <n v="2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7"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chartFormat="35">
  <location ref="A3:N8" firstHeaderRow="1" firstDataRow="2" firstDataCol="1" rowPageCount="1" colPageCount="1"/>
  <pivotFields count="9">
    <pivotField axis="axisCol" showAll="0">
      <items count="13">
        <item x="0"/>
        <item x="1"/>
        <item x="2"/>
        <item x="3"/>
        <item x="4"/>
        <item x="5"/>
        <item x="6"/>
        <item x="7"/>
        <item x="8"/>
        <item x="9"/>
        <item x="10"/>
        <item x="11"/>
        <item t="default"/>
      </items>
    </pivotField>
    <pivotField axis="axisRow" showAll="0">
      <items count="4">
        <item x="1"/>
        <item x="0"/>
        <item x="2"/>
        <item t="default"/>
      </items>
    </pivotField>
    <pivotField showAll="0"/>
    <pivotField axis="axisPage" multipleItemSelectionAllowed="1" showAll="0">
      <items count="9">
        <item h="1" x="0"/>
        <item x="1"/>
        <item x="2"/>
        <item x="6"/>
        <item x="7"/>
        <item x="3"/>
        <item x="4"/>
        <item h="1" x="5"/>
        <item t="default"/>
      </items>
    </pivotField>
    <pivotField showAll="0"/>
    <pivotField showAll="0"/>
    <pivotField showAll="0"/>
    <pivotField showAll="0"/>
    <pivotField dataField="1" showAll="0"/>
  </pivotFields>
  <rowFields count="1">
    <field x="1"/>
  </rowFields>
  <rowItems count="4">
    <i>
      <x/>
    </i>
    <i>
      <x v="1"/>
    </i>
    <i>
      <x v="2"/>
    </i>
    <i t="grand">
      <x/>
    </i>
  </rowItems>
  <colFields count="1">
    <field x="0"/>
  </colFields>
  <colItems count="13">
    <i>
      <x/>
    </i>
    <i>
      <x v="1"/>
    </i>
    <i>
      <x v="2"/>
    </i>
    <i>
      <x v="3"/>
    </i>
    <i>
      <x v="4"/>
    </i>
    <i>
      <x v="5"/>
    </i>
    <i>
      <x v="6"/>
    </i>
    <i>
      <x v="7"/>
    </i>
    <i>
      <x v="8"/>
    </i>
    <i>
      <x v="9"/>
    </i>
    <i>
      <x v="10"/>
    </i>
    <i>
      <x v="11"/>
    </i>
    <i t="grand">
      <x/>
    </i>
  </colItems>
  <pageFields count="1">
    <pageField fld="3" hier="-1"/>
  </pageFields>
  <dataFields count="1">
    <dataField name="Sum of CupPts" fld="8" baseField="1" baseItem="0"/>
  </dataFields>
  <chartFormats count="12">
    <chartFormat chart="19" format="25" series="1">
      <pivotArea type="data" outline="0" fieldPosition="0">
        <references count="2">
          <reference field="4294967294" count="1" selected="0">
            <x v="0"/>
          </reference>
          <reference field="0" count="1" selected="0">
            <x v="0"/>
          </reference>
        </references>
      </pivotArea>
    </chartFormat>
    <chartFormat chart="19" format="26" series="1">
      <pivotArea type="data" outline="0" fieldPosition="0">
        <references count="2">
          <reference field="4294967294" count="1" selected="0">
            <x v="0"/>
          </reference>
          <reference field="0" count="1" selected="0">
            <x v="1"/>
          </reference>
        </references>
      </pivotArea>
    </chartFormat>
    <chartFormat chart="19" format="27" series="1">
      <pivotArea type="data" outline="0" fieldPosition="0">
        <references count="2">
          <reference field="4294967294" count="1" selected="0">
            <x v="0"/>
          </reference>
          <reference field="0" count="1" selected="0">
            <x v="2"/>
          </reference>
        </references>
      </pivotArea>
    </chartFormat>
    <chartFormat chart="19" format="28" series="1">
      <pivotArea type="data" outline="0" fieldPosition="0">
        <references count="2">
          <reference field="4294967294" count="1" selected="0">
            <x v="0"/>
          </reference>
          <reference field="0" count="1" selected="0">
            <x v="3"/>
          </reference>
        </references>
      </pivotArea>
    </chartFormat>
    <chartFormat chart="19" format="29" series="1">
      <pivotArea type="data" outline="0" fieldPosition="0">
        <references count="2">
          <reference field="4294967294" count="1" selected="0">
            <x v="0"/>
          </reference>
          <reference field="0" count="1" selected="0">
            <x v="4"/>
          </reference>
        </references>
      </pivotArea>
    </chartFormat>
    <chartFormat chart="19" format="30" series="1">
      <pivotArea type="data" outline="0" fieldPosition="0">
        <references count="2">
          <reference field="4294967294" count="1" selected="0">
            <x v="0"/>
          </reference>
          <reference field="0" count="1" selected="0">
            <x v="5"/>
          </reference>
        </references>
      </pivotArea>
    </chartFormat>
    <chartFormat chart="19" format="31" series="1">
      <pivotArea type="data" outline="0" fieldPosition="0">
        <references count="2">
          <reference field="4294967294" count="1" selected="0">
            <x v="0"/>
          </reference>
          <reference field="0" count="1" selected="0">
            <x v="6"/>
          </reference>
        </references>
      </pivotArea>
    </chartFormat>
    <chartFormat chart="19" format="32" series="1">
      <pivotArea type="data" outline="0" fieldPosition="0">
        <references count="2">
          <reference field="4294967294" count="1" selected="0">
            <x v="0"/>
          </reference>
          <reference field="0" count="1" selected="0">
            <x v="7"/>
          </reference>
        </references>
      </pivotArea>
    </chartFormat>
    <chartFormat chart="19" format="33" series="1">
      <pivotArea type="data" outline="0" fieldPosition="0">
        <references count="2">
          <reference field="4294967294" count="1" selected="0">
            <x v="0"/>
          </reference>
          <reference field="0" count="1" selected="0">
            <x v="8"/>
          </reference>
        </references>
      </pivotArea>
    </chartFormat>
    <chartFormat chart="19" format="34" series="1">
      <pivotArea type="data" outline="0" fieldPosition="0">
        <references count="2">
          <reference field="4294967294" count="1" selected="0">
            <x v="0"/>
          </reference>
          <reference field="0" count="1" selected="0">
            <x v="9"/>
          </reference>
        </references>
      </pivotArea>
    </chartFormat>
    <chartFormat chart="19" format="35" series="1">
      <pivotArea type="data" outline="0" fieldPosition="0">
        <references count="2">
          <reference field="4294967294" count="1" selected="0">
            <x v="0"/>
          </reference>
          <reference field="0" count="1" selected="0">
            <x v="10"/>
          </reference>
        </references>
      </pivotArea>
    </chartFormat>
    <chartFormat chart="19" format="36" series="1">
      <pivotArea type="data" outline="0" fieldPosition="0">
        <references count="2">
          <reference field="4294967294" count="1" selected="0">
            <x v="0"/>
          </reference>
          <reference field="0" count="1" selected="0">
            <x v="1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2" cacheId="7"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chartFormat="44">
  <location ref="A4:E9" firstHeaderRow="0" firstDataRow="1" firstDataCol="1" rowPageCount="2" colPageCount="1"/>
  <pivotFields count="9">
    <pivotField axis="axisRow" multipleItemSelectionAllowed="1" showAll="0">
      <items count="13">
        <item x="0"/>
        <item x="1"/>
        <item x="2"/>
        <item x="3"/>
        <item x="4"/>
        <item x="5"/>
        <item x="6"/>
        <item x="7"/>
        <item x="8"/>
        <item x="9"/>
        <item x="10"/>
        <item x="11"/>
        <item t="default"/>
      </items>
    </pivotField>
    <pivotField axis="axisPage" multipleItemSelectionAllowed="1" showAll="0">
      <items count="4">
        <item x="1"/>
        <item h="1" x="0"/>
        <item h="1" x="2"/>
        <item t="default"/>
      </items>
    </pivotField>
    <pivotField showAll="0"/>
    <pivotField axis="axisPage" multipleItemSelectionAllowed="1" showAll="0">
      <items count="9">
        <item x="0"/>
        <item x="1"/>
        <item x="2"/>
        <item h="1" x="6"/>
        <item h="1" x="7"/>
        <item x="3"/>
        <item x="4"/>
        <item x="5"/>
        <item t="default"/>
      </items>
    </pivotField>
    <pivotField dataField="1" showAll="0"/>
    <pivotField dataField="1" showAll="0"/>
    <pivotField dataField="1" showAll="0"/>
    <pivotField dataField="1" showAll="0"/>
    <pivotField showAll="0"/>
  </pivotFields>
  <rowFields count="1">
    <field x="0"/>
  </rowFields>
  <rowItems count="5">
    <i>
      <x v="1"/>
    </i>
    <i>
      <x v="3"/>
    </i>
    <i>
      <x v="5"/>
    </i>
    <i>
      <x v="6"/>
    </i>
    <i t="grand">
      <x/>
    </i>
  </rowItems>
  <colFields count="1">
    <field x="-2"/>
  </colFields>
  <colItems count="4">
    <i>
      <x/>
    </i>
    <i i="1">
      <x v="1"/>
    </i>
    <i i="2">
      <x v="2"/>
    </i>
    <i i="3">
      <x v="3"/>
    </i>
  </colItems>
  <pageFields count="2">
    <pageField fld="3" hier="-1"/>
    <pageField fld="1" hier="-1"/>
  </pageFields>
  <dataFields count="4">
    <dataField name="AveGs" fld="4" subtotal="average" baseField="0" baseItem="0" numFmtId="164"/>
    <dataField name="TotGs:Par" fld="5" baseField="0" baseItem="0"/>
    <dataField name="AveNt" fld="6" subtotal="average" baseField="0" baseItem="0" numFmtId="164"/>
    <dataField name="TotNt:Par" fld="7" baseField="0" baseItem="0"/>
  </dataFields>
  <chartFormats count="12">
    <chartFormat chart="14" format="10" series="1">
      <pivotArea type="data" outline="0" fieldPosition="0">
        <references count="1">
          <reference field="4294967294" count="1" selected="0">
            <x v="0"/>
          </reference>
        </references>
      </pivotArea>
    </chartFormat>
    <chartFormat chart="14" format="11" series="1">
      <pivotArea type="data" outline="0" fieldPosition="0">
        <references count="1">
          <reference field="4294967294" count="1" selected="0">
            <x v="1"/>
          </reference>
        </references>
      </pivotArea>
    </chartFormat>
    <chartFormat chart="14" format="12" series="1">
      <pivotArea type="data" outline="0" fieldPosition="0">
        <references count="1">
          <reference field="4294967294" count="1" selected="0">
            <x v="2"/>
          </reference>
        </references>
      </pivotArea>
    </chartFormat>
    <chartFormat chart="14" format="13" series="1">
      <pivotArea type="data" outline="0" fieldPosition="0">
        <references count="1">
          <reference field="4294967294" count="1" selected="0">
            <x v="3"/>
          </reference>
        </references>
      </pivotArea>
    </chartFormat>
    <chartFormat chart="17" format="20" series="1">
      <pivotArea type="data" outline="0" fieldPosition="0">
        <references count="1">
          <reference field="4294967294" count="1" selected="0">
            <x v="0"/>
          </reference>
        </references>
      </pivotArea>
    </chartFormat>
    <chartFormat chart="17" format="21" series="1">
      <pivotArea type="data" outline="0" fieldPosition="0">
        <references count="1">
          <reference field="4294967294" count="1" selected="0">
            <x v="1"/>
          </reference>
        </references>
      </pivotArea>
    </chartFormat>
    <chartFormat chart="17" format="22" series="1">
      <pivotArea type="data" outline="0" fieldPosition="0">
        <references count="1">
          <reference field="4294967294" count="1" selected="0">
            <x v="2"/>
          </reference>
        </references>
      </pivotArea>
    </chartFormat>
    <chartFormat chart="17" format="23" series="1">
      <pivotArea type="data" outline="0" fieldPosition="0">
        <references count="1">
          <reference field="4294967294" count="1" selected="0">
            <x v="3"/>
          </reference>
        </references>
      </pivotArea>
    </chartFormat>
    <chartFormat chart="20" format="30" series="1">
      <pivotArea type="data" outline="0" fieldPosition="0">
        <references count="1">
          <reference field="4294967294" count="1" selected="0">
            <x v="0"/>
          </reference>
        </references>
      </pivotArea>
    </chartFormat>
    <chartFormat chart="20" format="31" series="1">
      <pivotArea type="data" outline="0" fieldPosition="0">
        <references count="1">
          <reference field="4294967294" count="1" selected="0">
            <x v="1"/>
          </reference>
        </references>
      </pivotArea>
    </chartFormat>
    <chartFormat chart="20" format="32" series="1">
      <pivotArea type="data" outline="0" fieldPosition="0">
        <references count="1">
          <reference field="4294967294" count="1" selected="0">
            <x v="2"/>
          </reference>
        </references>
      </pivotArea>
    </chartFormat>
    <chartFormat chart="20" format="33" series="1">
      <pivotArea type="data" outline="0" fieldPosition="0">
        <references count="1">
          <reference field="4294967294"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2" cacheId="7"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chartFormat="52">
  <location ref="A4:E9" firstHeaderRow="0" firstDataRow="1" firstDataCol="1" rowPageCount="2" colPageCount="1"/>
  <pivotFields count="9">
    <pivotField axis="axisRow" multipleItemSelectionAllowed="1" showAll="0">
      <items count="13">
        <item x="0"/>
        <item x="1"/>
        <item x="2"/>
        <item x="3"/>
        <item x="4"/>
        <item x="5"/>
        <item x="6"/>
        <item x="7"/>
        <item x="8"/>
        <item x="9"/>
        <item x="10"/>
        <item x="11"/>
        <item t="default"/>
      </items>
    </pivotField>
    <pivotField axis="axisPage" multipleItemSelectionAllowed="1" showAll="0">
      <items count="4">
        <item h="1" x="1"/>
        <item x="0"/>
        <item h="1" x="2"/>
        <item t="default"/>
      </items>
    </pivotField>
    <pivotField showAll="0"/>
    <pivotField axis="axisPage" multipleItemSelectionAllowed="1" showAll="0">
      <items count="9">
        <item x="0"/>
        <item x="1"/>
        <item x="2"/>
        <item h="1" x="6"/>
        <item h="1" x="7"/>
        <item x="3"/>
        <item x="4"/>
        <item x="5"/>
        <item t="default"/>
      </items>
    </pivotField>
    <pivotField dataField="1" showAll="0"/>
    <pivotField dataField="1" showAll="0"/>
    <pivotField dataField="1" showAll="0"/>
    <pivotField dataField="1" showAll="0"/>
    <pivotField showAll="0"/>
  </pivotFields>
  <rowFields count="1">
    <field x="0"/>
  </rowFields>
  <rowItems count="5">
    <i>
      <x/>
    </i>
    <i>
      <x v="4"/>
    </i>
    <i>
      <x v="7"/>
    </i>
    <i>
      <x v="11"/>
    </i>
    <i t="grand">
      <x/>
    </i>
  </rowItems>
  <colFields count="1">
    <field x="-2"/>
  </colFields>
  <colItems count="4">
    <i>
      <x/>
    </i>
    <i i="1">
      <x v="1"/>
    </i>
    <i i="2">
      <x v="2"/>
    </i>
    <i i="3">
      <x v="3"/>
    </i>
  </colItems>
  <pageFields count="2">
    <pageField fld="3" hier="-1"/>
    <pageField fld="1" hier="-1"/>
  </pageFields>
  <dataFields count="4">
    <dataField name="AveGs" fld="4" subtotal="average" baseField="0" baseItem="0" numFmtId="164"/>
    <dataField name="TotGs:Par" fld="5" baseField="0" baseItem="0"/>
    <dataField name="AveNt" fld="6" subtotal="average" baseField="0" baseItem="0" numFmtId="164"/>
    <dataField name="TotNt:Par" fld="7" baseField="0" baseItem="0"/>
  </dataFields>
  <chartFormats count="16">
    <chartFormat chart="14" format="10" series="1">
      <pivotArea type="data" outline="0" fieldPosition="0">
        <references count="1">
          <reference field="4294967294" count="1" selected="0">
            <x v="0"/>
          </reference>
        </references>
      </pivotArea>
    </chartFormat>
    <chartFormat chart="14" format="11" series="1">
      <pivotArea type="data" outline="0" fieldPosition="0">
        <references count="1">
          <reference field="4294967294" count="1" selected="0">
            <x v="1"/>
          </reference>
        </references>
      </pivotArea>
    </chartFormat>
    <chartFormat chart="14" format="12" series="1">
      <pivotArea type="data" outline="0" fieldPosition="0">
        <references count="1">
          <reference field="4294967294" count="1" selected="0">
            <x v="2"/>
          </reference>
        </references>
      </pivotArea>
    </chartFormat>
    <chartFormat chart="14" format="13" series="1">
      <pivotArea type="data" outline="0" fieldPosition="0">
        <references count="1">
          <reference field="4294967294" count="1" selected="0">
            <x v="3"/>
          </reference>
        </references>
      </pivotArea>
    </chartFormat>
    <chartFormat chart="17" format="20" series="1">
      <pivotArea type="data" outline="0" fieldPosition="0">
        <references count="1">
          <reference field="4294967294" count="1" selected="0">
            <x v="0"/>
          </reference>
        </references>
      </pivotArea>
    </chartFormat>
    <chartFormat chart="17" format="21" series="1">
      <pivotArea type="data" outline="0" fieldPosition="0">
        <references count="1">
          <reference field="4294967294" count="1" selected="0">
            <x v="1"/>
          </reference>
        </references>
      </pivotArea>
    </chartFormat>
    <chartFormat chart="17" format="22" series="1">
      <pivotArea type="data" outline="0" fieldPosition="0">
        <references count="1">
          <reference field="4294967294" count="1" selected="0">
            <x v="2"/>
          </reference>
        </references>
      </pivotArea>
    </chartFormat>
    <chartFormat chart="17" format="23" series="1">
      <pivotArea type="data" outline="0" fieldPosition="0">
        <references count="1">
          <reference field="4294967294" count="1" selected="0">
            <x v="3"/>
          </reference>
        </references>
      </pivotArea>
    </chartFormat>
    <chartFormat chart="20" format="30" series="1">
      <pivotArea type="data" outline="0" fieldPosition="0">
        <references count="1">
          <reference field="4294967294" count="1" selected="0">
            <x v="0"/>
          </reference>
        </references>
      </pivotArea>
    </chartFormat>
    <chartFormat chart="20" format="31" series="1">
      <pivotArea type="data" outline="0" fieldPosition="0">
        <references count="1">
          <reference field="4294967294" count="1" selected="0">
            <x v="1"/>
          </reference>
        </references>
      </pivotArea>
    </chartFormat>
    <chartFormat chart="20" format="32" series="1">
      <pivotArea type="data" outline="0" fieldPosition="0">
        <references count="1">
          <reference field="4294967294" count="1" selected="0">
            <x v="2"/>
          </reference>
        </references>
      </pivotArea>
    </chartFormat>
    <chartFormat chart="20" format="33" series="1">
      <pivotArea type="data" outline="0" fieldPosition="0">
        <references count="1">
          <reference field="4294967294" count="1" selected="0">
            <x v="3"/>
          </reference>
        </references>
      </pivotArea>
    </chartFormat>
    <chartFormat chart="39" format="10" series="1">
      <pivotArea type="data" outline="0" fieldPosition="0">
        <references count="1">
          <reference field="4294967294" count="1" selected="0">
            <x v="0"/>
          </reference>
        </references>
      </pivotArea>
    </chartFormat>
    <chartFormat chart="39" format="11" series="1">
      <pivotArea type="data" outline="0" fieldPosition="0">
        <references count="1">
          <reference field="4294967294" count="1" selected="0">
            <x v="1"/>
          </reference>
        </references>
      </pivotArea>
    </chartFormat>
    <chartFormat chart="39" format="12" series="1">
      <pivotArea type="data" outline="0" fieldPosition="0">
        <references count="1">
          <reference field="4294967294" count="1" selected="0">
            <x v="2"/>
          </reference>
        </references>
      </pivotArea>
    </chartFormat>
    <chartFormat chart="39" format="13" series="1">
      <pivotArea type="data" outline="0" fieldPosition="0">
        <references count="1">
          <reference field="4294967294"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2" cacheId="7"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chartFormat="49">
  <location ref="A4:E9" firstHeaderRow="0" firstDataRow="1" firstDataCol="1" rowPageCount="2" colPageCount="1"/>
  <pivotFields count="9">
    <pivotField axis="axisRow" multipleItemSelectionAllowed="1" showAll="0">
      <items count="13">
        <item x="0"/>
        <item x="1"/>
        <item x="2"/>
        <item x="3"/>
        <item x="4"/>
        <item x="5"/>
        <item x="6"/>
        <item x="7"/>
        <item x="8"/>
        <item x="9"/>
        <item x="10"/>
        <item x="11"/>
        <item t="default"/>
      </items>
    </pivotField>
    <pivotField axis="axisPage" multipleItemSelectionAllowed="1" showAll="0">
      <items count="4">
        <item h="1" x="1"/>
        <item h="1" x="0"/>
        <item x="2"/>
        <item t="default"/>
      </items>
    </pivotField>
    <pivotField showAll="0"/>
    <pivotField axis="axisPage" multipleItemSelectionAllowed="1" showAll="0">
      <items count="9">
        <item x="0"/>
        <item x="1"/>
        <item x="2"/>
        <item h="1" x="6"/>
        <item h="1" x="7"/>
        <item x="3"/>
        <item x="4"/>
        <item x="5"/>
        <item t="default"/>
      </items>
    </pivotField>
    <pivotField dataField="1" showAll="0"/>
    <pivotField dataField="1" showAll="0"/>
    <pivotField dataField="1" showAll="0"/>
    <pivotField dataField="1" showAll="0"/>
    <pivotField showAll="0"/>
  </pivotFields>
  <rowFields count="1">
    <field x="0"/>
  </rowFields>
  <rowItems count="5">
    <i>
      <x v="2"/>
    </i>
    <i>
      <x v="8"/>
    </i>
    <i>
      <x v="9"/>
    </i>
    <i>
      <x v="10"/>
    </i>
    <i t="grand">
      <x/>
    </i>
  </rowItems>
  <colFields count="1">
    <field x="-2"/>
  </colFields>
  <colItems count="4">
    <i>
      <x/>
    </i>
    <i i="1">
      <x v="1"/>
    </i>
    <i i="2">
      <x v="2"/>
    </i>
    <i i="3">
      <x v="3"/>
    </i>
  </colItems>
  <pageFields count="2">
    <pageField fld="3" hier="-1"/>
    <pageField fld="1" hier="-1"/>
  </pageFields>
  <dataFields count="4">
    <dataField name="AveGs" fld="4" subtotal="average" baseField="0" baseItem="0" numFmtId="164"/>
    <dataField name="TotGs:Par" fld="5" baseField="0" baseItem="0"/>
    <dataField name="AveNt" fld="6" subtotal="average" baseField="0" baseItem="0" numFmtId="164"/>
    <dataField name="TotNt:Par" fld="7" baseField="0" baseItem="0"/>
  </dataFields>
  <chartFormats count="16">
    <chartFormat chart="14" format="10" series="1">
      <pivotArea type="data" outline="0" fieldPosition="0">
        <references count="1">
          <reference field="4294967294" count="1" selected="0">
            <x v="0"/>
          </reference>
        </references>
      </pivotArea>
    </chartFormat>
    <chartFormat chart="14" format="11" series="1">
      <pivotArea type="data" outline="0" fieldPosition="0">
        <references count="1">
          <reference field="4294967294" count="1" selected="0">
            <x v="1"/>
          </reference>
        </references>
      </pivotArea>
    </chartFormat>
    <chartFormat chart="14" format="12" series="1">
      <pivotArea type="data" outline="0" fieldPosition="0">
        <references count="1">
          <reference field="4294967294" count="1" selected="0">
            <x v="2"/>
          </reference>
        </references>
      </pivotArea>
    </chartFormat>
    <chartFormat chart="14" format="13" series="1">
      <pivotArea type="data" outline="0" fieldPosition="0">
        <references count="1">
          <reference field="4294967294" count="1" selected="0">
            <x v="3"/>
          </reference>
        </references>
      </pivotArea>
    </chartFormat>
    <chartFormat chart="17" format="20" series="1">
      <pivotArea type="data" outline="0" fieldPosition="0">
        <references count="1">
          <reference field="4294967294" count="1" selected="0">
            <x v="0"/>
          </reference>
        </references>
      </pivotArea>
    </chartFormat>
    <chartFormat chart="17" format="21" series="1">
      <pivotArea type="data" outline="0" fieldPosition="0">
        <references count="1">
          <reference field="4294967294" count="1" selected="0">
            <x v="1"/>
          </reference>
        </references>
      </pivotArea>
    </chartFormat>
    <chartFormat chart="17" format="22" series="1">
      <pivotArea type="data" outline="0" fieldPosition="0">
        <references count="1">
          <reference field="4294967294" count="1" selected="0">
            <x v="2"/>
          </reference>
        </references>
      </pivotArea>
    </chartFormat>
    <chartFormat chart="17" format="23" series="1">
      <pivotArea type="data" outline="0" fieldPosition="0">
        <references count="1">
          <reference field="4294967294" count="1" selected="0">
            <x v="3"/>
          </reference>
        </references>
      </pivotArea>
    </chartFormat>
    <chartFormat chart="20" format="30" series="1">
      <pivotArea type="data" outline="0" fieldPosition="0">
        <references count="1">
          <reference field="4294967294" count="1" selected="0">
            <x v="0"/>
          </reference>
        </references>
      </pivotArea>
    </chartFormat>
    <chartFormat chart="20" format="31" series="1">
      <pivotArea type="data" outline="0" fieldPosition="0">
        <references count="1">
          <reference field="4294967294" count="1" selected="0">
            <x v="1"/>
          </reference>
        </references>
      </pivotArea>
    </chartFormat>
    <chartFormat chart="20" format="32" series="1">
      <pivotArea type="data" outline="0" fieldPosition="0">
        <references count="1">
          <reference field="4294967294" count="1" selected="0">
            <x v="2"/>
          </reference>
        </references>
      </pivotArea>
    </chartFormat>
    <chartFormat chart="20" format="33" series="1">
      <pivotArea type="data" outline="0" fieldPosition="0">
        <references count="1">
          <reference field="4294967294" count="1" selected="0">
            <x v="3"/>
          </reference>
        </references>
      </pivotArea>
    </chartFormat>
    <chartFormat chart="37" format="10" series="1">
      <pivotArea type="data" outline="0" fieldPosition="0">
        <references count="1">
          <reference field="4294967294" count="1" selected="0">
            <x v="0"/>
          </reference>
        </references>
      </pivotArea>
    </chartFormat>
    <chartFormat chart="37" format="11" series="1">
      <pivotArea type="data" outline="0" fieldPosition="0">
        <references count="1">
          <reference field="4294967294" count="1" selected="0">
            <x v="1"/>
          </reference>
        </references>
      </pivotArea>
    </chartFormat>
    <chartFormat chart="37" format="12" series="1">
      <pivotArea type="data" outline="0" fieldPosition="0">
        <references count="1">
          <reference field="4294967294" count="1" selected="0">
            <x v="2"/>
          </reference>
        </references>
      </pivotArea>
    </chartFormat>
    <chartFormat chart="37" format="13" series="1">
      <pivotArea type="data" outline="0" fieldPosition="0">
        <references count="1">
          <reference field="4294967294"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2" name="Table13" displayName="Table13" ref="A25:AC37" totalsRowShown="0" headerRowDxfId="301" dataDxfId="300" tableBorderDxfId="299">
  <autoFilter ref="A25:AC37"/>
  <sortState ref="A26:AC29">
    <sortCondition descending="1" ref="AA25:AA37"/>
  </sortState>
  <tableColumns count="29">
    <tableColumn id="1" name="Hole" dataDxfId="298"/>
    <tableColumn id="2" name="1" dataDxfId="297"/>
    <tableColumn id="3" name="2" dataDxfId="296"/>
    <tableColumn id="4" name="3" dataDxfId="295"/>
    <tableColumn id="5" name="4" dataDxfId="294"/>
    <tableColumn id="6" name="5" dataDxfId="293"/>
    <tableColumn id="7" name="6" dataDxfId="292"/>
    <tableColumn id="8" name="7" dataDxfId="291"/>
    <tableColumn id="9" name="8" dataDxfId="290"/>
    <tableColumn id="10" name="9" dataDxfId="289"/>
    <tableColumn id="11" name="10" dataDxfId="288"/>
    <tableColumn id="12" name="11" dataDxfId="287"/>
    <tableColumn id="13" name="12" dataDxfId="286"/>
    <tableColumn id="14" name="13" dataDxfId="285"/>
    <tableColumn id="15" name="14" dataDxfId="284"/>
    <tableColumn id="16" name="15" dataDxfId="283"/>
    <tableColumn id="17" name="16" dataDxfId="282"/>
    <tableColumn id="18" name="17" dataDxfId="281"/>
    <tableColumn id="19" name="18" dataDxfId="280"/>
    <tableColumn id="20" name="Out" dataDxfId="279">
      <calculatedColumnFormula>SUM(Table13[[#This Row],[1]:[9]])</calculatedColumnFormula>
    </tableColumn>
    <tableColumn id="21" name="In" dataDxfId="278">
      <calculatedColumnFormula>SUM(Table13[[#This Row],[10]:[18]])</calculatedColumnFormula>
    </tableColumn>
    <tableColumn id="22" name="Gross" dataDxfId="277">
      <calculatedColumnFormula>SUM(Table13[[#This Row],[Out]:[In]])</calculatedColumnFormula>
    </tableColumn>
    <tableColumn id="32" name="Net" dataDxfId="276">
      <calculatedColumnFormula>IF(Table13[[#This Row],[Gross]]&gt;0,Table13[[#This Row],[Gross]]-Table13[[#This Row],[HCP]],0)</calculatedColumnFormula>
    </tableColumn>
    <tableColumn id="25" name="HCP" dataDxfId="275">
      <calculatedColumnFormula>VLOOKUP(Table13[[#This Row],[Hole]],'Player Info'!A:C,3,0)</calculatedColumnFormula>
    </tableColumn>
    <tableColumn id="24" name="Game" dataDxfId="274"/>
    <tableColumn id="26" name="GHCP" dataDxfId="273"/>
    <tableColumn id="30" name="Game Points" dataDxfId="272"/>
    <tableColumn id="31" name="Cup Points" dataDxfId="271"/>
    <tableColumn id="27" name="Team" dataDxfId="270">
      <calculatedColumnFormula>VLOOKUP(Table13[[#This Row],[Hole]],'Player Info'!A:B,2,0)</calculatedColumnFormula>
    </tableColumn>
  </tableColumns>
  <tableStyleInfo name="TableStyleMedium2" showFirstColumn="0" showLastColumn="0" showRowStripes="1" showColumnStripes="0"/>
</table>
</file>

<file path=xl/tables/table10.xml><?xml version="1.0" encoding="utf-8"?>
<table xmlns="http://schemas.openxmlformats.org/spreadsheetml/2006/main" id="20" name="Table19151721" displayName="Table19151721" ref="A119:S131" totalsRowShown="0" headerRowDxfId="43" dataDxfId="42" tableBorderDxfId="41">
  <autoFilter ref="A119:S131"/>
  <sortState ref="A120:S131">
    <sortCondition ref="O119:O131"/>
  </sortState>
  <tableColumns count="19">
    <tableColumn id="1" name="Hole" dataDxfId="40"/>
    <tableColumn id="2" name="10" dataDxfId="39"/>
    <tableColumn id="3" name="11" dataDxfId="38"/>
    <tableColumn id="4" name="12" dataDxfId="37"/>
    <tableColumn id="5" name="13" dataDxfId="36"/>
    <tableColumn id="6" name="14" dataDxfId="35"/>
    <tableColumn id="7" name="15" dataDxfId="34"/>
    <tableColumn id="8" name="16" dataDxfId="33"/>
    <tableColumn id="9" name="17" dataDxfId="32"/>
    <tableColumn id="10" name="18" dataDxfId="31"/>
    <tableColumn id="20" name="In" dataDxfId="30">
      <calculatedColumnFormula>SUM(Table19151721[[#This Row],[10]:[18]])</calculatedColumnFormula>
    </tableColumn>
    <tableColumn id="22" name="Gross" dataDxfId="29">
      <calculatedColumnFormula>Table19151721[[#This Row],[In]]</calculatedColumnFormula>
    </tableColumn>
    <tableColumn id="23" name="Net" dataDxfId="28">
      <calculatedColumnFormula>IF(Table19151721[[#This Row],[Gross]]&gt;0,Table19151721[[#This Row],[Gross]]-Table19151721[[#This Row],[HCP]],0)</calculatedColumnFormula>
    </tableColumn>
    <tableColumn id="25" name="HCP" dataDxfId="27">
      <calculatedColumnFormula>VLOOKUP(Table19151721[[#This Row],[Hole]],'Player Info'!A:C,3,0)/2</calculatedColumnFormula>
    </tableColumn>
    <tableColumn id="24" name="Game" dataDxfId="26"/>
    <tableColumn id="26" name="GHCP" dataDxfId="25"/>
    <tableColumn id="11" name="Match" dataDxfId="24"/>
    <tableColumn id="31" name="Cup Points" dataDxfId="23"/>
    <tableColumn id="27" name="Team" dataDxfId="22">
      <calculatedColumnFormula>VLOOKUP(Table19151721[[#This Row],[Hole]],'Player Info'!A:B,2,0)</calculatedColumnFormula>
    </tableColumn>
  </tableColumns>
  <tableStyleInfo name="TableStyleMedium2" showFirstColumn="0" showLastColumn="0" showRowStripes="1" showColumnStripes="0"/>
</table>
</file>

<file path=xl/tables/table11.xml><?xml version="1.0" encoding="utf-8"?>
<table xmlns="http://schemas.openxmlformats.org/spreadsheetml/2006/main" id="3" name="Table3" displayName="Table3" ref="A1:A6" totalsRowShown="0" headerRowDxfId="21" dataDxfId="20">
  <autoFilter ref="A1:A6"/>
  <tableColumns count="1">
    <tableColumn id="2" name="RULES" dataDxfId="19"/>
  </tableColumns>
  <tableStyleInfo name="TableStyleMedium2" showFirstColumn="0" showLastColumn="0" showRowStripes="1" showColumnStripes="0"/>
</table>
</file>

<file path=xl/tables/table12.xml><?xml version="1.0" encoding="utf-8"?>
<table xmlns="http://schemas.openxmlformats.org/spreadsheetml/2006/main" id="6" name="Table6" displayName="Table6" ref="A1:E13" totalsRowShown="0" headerRowDxfId="18" dataDxfId="17" tableBorderDxfId="16">
  <autoFilter ref="A1:E13"/>
  <sortState ref="A2:M13">
    <sortCondition ref="B1:B13"/>
  </sortState>
  <tableColumns count="5">
    <tableColumn id="1" name="Player" dataDxfId="15"/>
    <tableColumn id="2" name="Team" dataDxfId="14"/>
    <tableColumn id="3" name="Index" dataDxfId="13"/>
    <tableColumn id="4" name="Email" dataDxfId="12"/>
    <tableColumn id="5" name="Phone" dataDxfId="11"/>
  </tableColumns>
  <tableStyleInfo name="TableStyleMedium2" showFirstColumn="0" showLastColumn="0" showRowStripes="1" showColumnStripes="0"/>
</table>
</file>

<file path=xl/tables/table13.xml><?xml version="1.0" encoding="utf-8"?>
<table xmlns="http://schemas.openxmlformats.org/spreadsheetml/2006/main" id="1" name="Table1" displayName="Table1" ref="A1:I97" totalsRowShown="0" headerRowDxfId="10" dataDxfId="9">
  <autoFilter ref="A1:I97">
    <filterColumn colId="3">
      <filters>
        <filter val="1"/>
        <filter val="2"/>
        <filter val="3"/>
        <filter val="6"/>
        <filter val="7"/>
        <filter val="8"/>
      </filters>
    </filterColumn>
  </autoFilter>
  <sortState ref="A2:I97">
    <sortCondition ref="A1:A97"/>
  </sortState>
  <tableColumns count="9">
    <tableColumn id="1" name="Player" dataDxfId="8"/>
    <tableColumn id="2" name="Team" dataDxfId="7">
      <calculatedColumnFormula>VLOOKUP(A2,Table6[[#All],[Player]:[Team]],2,0)</calculatedColumnFormula>
    </tableColumn>
    <tableColumn id="8" name="Index" dataDxfId="6">
      <calculatedColumnFormula>VLOOKUP(Table1[[#This Row],[Player]],'Player Info'!A:C,3,0)</calculatedColumnFormula>
    </tableColumn>
    <tableColumn id="3" name="Round" dataDxfId="5"/>
    <tableColumn id="4" name="Gross" dataDxfId="4">
      <calculatedColumnFormula>VLOOKUP(Table1[[#This Row],[Player]],Table5[[Hole]:[Gross]],22,0)</calculatedColumnFormula>
    </tableColumn>
    <tableColumn id="10" name="Gs2PAR" dataDxfId="3">
      <calculatedColumnFormula>IF(Table1[[#This Row],[Gross]]&gt;0,Table1[[#This Row],[Gross]]-72,0)</calculatedColumnFormula>
    </tableColumn>
    <tableColumn id="5" name="Net" dataDxfId="2">
      <calculatedColumnFormula>IF(Table1[[#This Row],[Gross]]&gt;0,Table1[[#This Row],[Gross]]-Table1[[#This Row],[Index]],0)</calculatedColumnFormula>
    </tableColumn>
    <tableColumn id="6" name="Nt2PAR" dataDxfId="1">
      <calculatedColumnFormula>IF(Table1[[#This Row],[Net]]&gt;0,Table1[[#This Row],[Net]]-72,0)</calculatedColumnFormula>
    </tableColumn>
    <tableColumn id="7" name="CupPts" dataDxfId="0"/>
  </tableColumns>
  <tableStyleInfo name="TableStyleMedium2" showFirstColumn="0" showLastColumn="0" showRowStripes="1" showColumnStripes="0"/>
</table>
</file>

<file path=xl/tables/table2.xml><?xml version="1.0" encoding="utf-8"?>
<table xmlns="http://schemas.openxmlformats.org/spreadsheetml/2006/main" id="10" name="Table111" displayName="Table111" ref="A44:AC56" totalsRowShown="0" headerRowDxfId="269" dataDxfId="268" tableBorderDxfId="267">
  <autoFilter ref="A44:AC56"/>
  <sortState ref="A45:AC56">
    <sortCondition ref="Y44:Y56"/>
  </sortState>
  <tableColumns count="29">
    <tableColumn id="1" name="Hole" dataDxfId="266"/>
    <tableColumn id="2" name="1" dataDxfId="265"/>
    <tableColumn id="3" name="2" dataDxfId="264"/>
    <tableColumn id="4" name="3" dataDxfId="263"/>
    <tableColumn id="5" name="4" dataDxfId="262"/>
    <tableColumn id="6" name="5" dataDxfId="261"/>
    <tableColumn id="7" name="6" dataDxfId="260"/>
    <tableColumn id="8" name="7" dataDxfId="259"/>
    <tableColumn id="9" name="8" dataDxfId="258"/>
    <tableColumn id="10" name="9" dataDxfId="257"/>
    <tableColumn id="11" name="10" dataDxfId="256"/>
    <tableColumn id="12" name="11" dataDxfId="255"/>
    <tableColumn id="13" name="12" dataDxfId="254"/>
    <tableColumn id="14" name="13" dataDxfId="253"/>
    <tableColumn id="15" name="14" dataDxfId="252"/>
    <tableColumn id="16" name="15" dataDxfId="251"/>
    <tableColumn id="17" name="16" dataDxfId="250"/>
    <tableColumn id="18" name="17" dataDxfId="249"/>
    <tableColumn id="19" name="18" dataDxfId="248"/>
    <tableColumn id="20" name="Out" dataDxfId="247">
      <calculatedColumnFormula>SUM(Table111[[#This Row],[1]:[9]])</calculatedColumnFormula>
    </tableColumn>
    <tableColumn id="21" name="In" dataDxfId="246">
      <calculatedColumnFormula>SUM(Table111[[#This Row],[10]:[18]])</calculatedColumnFormula>
    </tableColumn>
    <tableColumn id="22" name="Gross" dataDxfId="245">
      <calculatedColumnFormula>SUM(Table111[[#This Row],[Out]:[In]])</calculatedColumnFormula>
    </tableColumn>
    <tableColumn id="23" name="Net" dataDxfId="244">
      <calculatedColumnFormula>IF(Table111[[#This Row],[Gross]]&gt;0,Table111[[#This Row],[Gross]]-Table111[[#This Row],[HCP]],0)</calculatedColumnFormula>
    </tableColumn>
    <tableColumn id="25" name="HCP" dataDxfId="243">
      <calculatedColumnFormula>VLOOKUP(Table111[[#This Row],[Hole]],'Player Info'!A:C,3,0)</calculatedColumnFormula>
    </tableColumn>
    <tableColumn id="32" name="Game" dataDxfId="242"/>
    <tableColumn id="24" name="GHCP" dataDxfId="241"/>
    <tableColumn id="26" name="Skins" dataDxfId="240"/>
    <tableColumn id="30" name="Cup Points" dataDxfId="239"/>
    <tableColumn id="31" name="Team" dataDxfId="238">
      <calculatedColumnFormula>VLOOKUP(Table111[[#This Row],[Hole]],'Player Info'!A:B,2,0)</calculatedColumnFormula>
    </tableColumn>
  </tableColumns>
  <tableStyleInfo name="TableStyleMedium2" showFirstColumn="0" showLastColumn="0" showRowStripes="1" showColumnStripes="0"/>
</table>
</file>

<file path=xl/tables/table3.xml><?xml version="1.0" encoding="utf-8"?>
<table xmlns="http://schemas.openxmlformats.org/spreadsheetml/2006/main" id="5" name="Table5" displayName="Table5" ref="A6:AA18" totalsRowShown="0" headerRowDxfId="237" dataDxfId="235" headerRowBorderDxfId="236" tableBorderDxfId="234" totalsRowBorderDxfId="233">
  <autoFilter ref="A6:AA18"/>
  <sortState ref="A7:AA18">
    <sortCondition ref="Y6:Y18"/>
  </sortState>
  <tableColumns count="27">
    <tableColumn id="1" name="Hole" dataDxfId="232"/>
    <tableColumn id="2" name="1" dataDxfId="231"/>
    <tableColumn id="3" name="2" dataDxfId="230"/>
    <tableColumn id="4" name="3" dataDxfId="229"/>
    <tableColumn id="5" name="4" dataDxfId="228"/>
    <tableColumn id="6" name="5" dataDxfId="227"/>
    <tableColumn id="7" name="6" dataDxfId="226"/>
    <tableColumn id="8" name="7" dataDxfId="225"/>
    <tableColumn id="9" name="8" dataDxfId="224"/>
    <tableColumn id="10" name="9" dataDxfId="223"/>
    <tableColumn id="11" name="10" dataDxfId="222"/>
    <tableColumn id="12" name="11" dataDxfId="221"/>
    <tableColumn id="13" name="12" dataDxfId="220"/>
    <tableColumn id="14" name="13" dataDxfId="219"/>
    <tableColumn id="15" name="14" dataDxfId="218"/>
    <tableColumn id="16" name="15" dataDxfId="217"/>
    <tableColumn id="17" name="16" dataDxfId="216"/>
    <tableColumn id="18" name="17" dataDxfId="215"/>
    <tableColumn id="19" name="18" dataDxfId="214"/>
    <tableColumn id="20" name="Out" dataDxfId="213">
      <calculatedColumnFormula>SUM(Table5[[#This Row],[1]:[9]])</calculatedColumnFormula>
    </tableColumn>
    <tableColumn id="21" name="In" dataDxfId="212">
      <calculatedColumnFormula>SUM(Table5[[#This Row],[10]:[18]])</calculatedColumnFormula>
    </tableColumn>
    <tableColumn id="22" name="Gross" dataDxfId="211">
      <calculatedColumnFormula>SUM(Table5[[#This Row],[Out]:[In]])</calculatedColumnFormula>
    </tableColumn>
    <tableColumn id="26" name="Net" dataDxfId="210">
      <calculatedColumnFormula>IF(Table5[[#This Row],[Gross]]&gt;0,Table5[[#This Row],[Gross]]-Table5[[#This Row],[HCP]],0)</calculatedColumnFormula>
    </tableColumn>
    <tableColumn id="27" name="HCP" dataDxfId="209">
      <calculatedColumnFormula>VLOOKUP(Table5[[#This Row],[Hole]],'Player Info'!A:C,3,0)</calculatedColumnFormula>
    </tableColumn>
    <tableColumn id="24" name="Game" dataDxfId="208"/>
    <tableColumn id="25" name="GHC" dataDxfId="207"/>
    <tableColumn id="23" name="Team" dataDxfId="206"/>
  </tableColumns>
  <tableStyleInfo name="TableStyleMedium2" showFirstColumn="0" showLastColumn="0" showRowStripes="1" showColumnStripes="0"/>
</table>
</file>

<file path=xl/tables/table4.xml><?xml version="1.0" encoding="utf-8"?>
<table xmlns="http://schemas.openxmlformats.org/spreadsheetml/2006/main" id="11" name="Table1412" displayName="Table1412" ref="A138:AC150" totalsRowShown="0" headerRowDxfId="205" dataDxfId="204" tableBorderDxfId="203">
  <autoFilter ref="A138:AC150"/>
  <sortState ref="A139:AC150">
    <sortCondition ref="A138:A150"/>
  </sortState>
  <tableColumns count="29">
    <tableColumn id="1" name="Hole" dataDxfId="202"/>
    <tableColumn id="2" name="1" dataDxfId="201"/>
    <tableColumn id="3" name="2" dataDxfId="200"/>
    <tableColumn id="4" name="3" dataDxfId="199"/>
    <tableColumn id="5" name="4" dataDxfId="198"/>
    <tableColumn id="6" name="5" dataDxfId="197"/>
    <tableColumn id="7" name="6" dataDxfId="196"/>
    <tableColumn id="8" name="7" dataDxfId="195"/>
    <tableColumn id="9" name="8" dataDxfId="194"/>
    <tableColumn id="10" name="9" dataDxfId="193"/>
    <tableColumn id="11" name="10" dataDxfId="192"/>
    <tableColumn id="12" name="11" dataDxfId="191"/>
    <tableColumn id="13" name="12" dataDxfId="190"/>
    <tableColumn id="14" name="13" dataDxfId="189"/>
    <tableColumn id="15" name="14" dataDxfId="188"/>
    <tableColumn id="16" name="15" dataDxfId="187"/>
    <tableColumn id="17" name="16" dataDxfId="186"/>
    <tableColumn id="18" name="17" dataDxfId="185"/>
    <tableColumn id="19" name="18" dataDxfId="184"/>
    <tableColumn id="20" name="Out" dataDxfId="183">
      <calculatedColumnFormula>SUM(Table1412[[#This Row],[1]:[9]])</calculatedColumnFormula>
    </tableColumn>
    <tableColumn id="21" name="In" dataDxfId="182">
      <calculatedColumnFormula>SUM(Table1412[[#This Row],[10]:[18]])</calculatedColumnFormula>
    </tableColumn>
    <tableColumn id="22" name="Gross" dataDxfId="181">
      <calculatedColumnFormula>SUM(Table1412[[#This Row],[Out]:[In]])</calculatedColumnFormula>
    </tableColumn>
    <tableColumn id="25" name="HCP" dataDxfId="180">
      <calculatedColumnFormula>VLOOKUP(Table1412[[#This Row],[Hole]],'Player Info'!A:C,3,0)</calculatedColumnFormula>
    </tableColumn>
    <tableColumn id="23" name="Net" dataDxfId="179">
      <calculatedColumnFormula>IF(Table1412[[#This Row],[Gross]]&gt;0,Table1412[[#This Row],[Gross]]-Table1412[[#This Row],[HCP]],0)</calculatedColumnFormula>
    </tableColumn>
    <tableColumn id="24" name="Game" dataDxfId="178"/>
    <tableColumn id="26" name="GHCP" dataDxfId="177"/>
    <tableColumn id="28" name="Match Score" dataDxfId="176"/>
    <tableColumn id="31" name="Cup Points" dataDxfId="175"/>
    <tableColumn id="27" name="Team" dataDxfId="174">
      <calculatedColumnFormula>VLOOKUP(Table1412[[#This Row],[Hole]],'Player Info'!A:B,2,0)</calculatedColumnFormula>
    </tableColumn>
  </tableColumns>
  <tableStyleInfo name="TableStyleMedium2" showFirstColumn="0" showLastColumn="0" showRowStripes="1" showColumnStripes="0"/>
</table>
</file>

<file path=xl/tables/table5.xml><?xml version="1.0" encoding="utf-8"?>
<table xmlns="http://schemas.openxmlformats.org/spreadsheetml/2006/main" id="12" name="Table14513" displayName="Table14513" ref="A157:AC169" totalsRowShown="0" headerRowDxfId="173" dataDxfId="172" tableBorderDxfId="171">
  <autoFilter ref="A157:AC169"/>
  <sortState ref="A158:AC169">
    <sortCondition ref="A157:A169"/>
  </sortState>
  <tableColumns count="29">
    <tableColumn id="1" name="Hole" dataDxfId="170"/>
    <tableColumn id="2" name="1" dataDxfId="169"/>
    <tableColumn id="3" name="2" dataDxfId="168"/>
    <tableColumn id="4" name="3" dataDxfId="167"/>
    <tableColumn id="5" name="4" dataDxfId="166"/>
    <tableColumn id="6" name="5" dataDxfId="165"/>
    <tableColumn id="7" name="6" dataDxfId="164"/>
    <tableColumn id="8" name="7" dataDxfId="163"/>
    <tableColumn id="9" name="8" dataDxfId="162"/>
    <tableColumn id="10" name="9" dataDxfId="161"/>
    <tableColumn id="11" name="10" dataDxfId="160"/>
    <tableColumn id="12" name="11" dataDxfId="159"/>
    <tableColumn id="13" name="12" dataDxfId="158"/>
    <tableColumn id="14" name="13" dataDxfId="157"/>
    <tableColumn id="15" name="14" dataDxfId="156"/>
    <tableColumn id="16" name="15" dataDxfId="155"/>
    <tableColumn id="17" name="16" dataDxfId="154"/>
    <tableColumn id="18" name="17" dataDxfId="153"/>
    <tableColumn id="19" name="18" dataDxfId="152"/>
    <tableColumn id="20" name="Out" dataDxfId="151">
      <calculatedColumnFormula>SUM(Table14513[[#This Row],[1]:[9]])</calculatedColumnFormula>
    </tableColumn>
    <tableColumn id="21" name="In" dataDxfId="150">
      <calculatedColumnFormula>SUM(Table14513[[#This Row],[10]:[18]])</calculatedColumnFormula>
    </tableColumn>
    <tableColumn id="22" name="Gross" dataDxfId="149">
      <calculatedColumnFormula>SUM(Table14513[[#This Row],[Out]:[In]])</calculatedColumnFormula>
    </tableColumn>
    <tableColumn id="23" name="Net" dataDxfId="148">
      <calculatedColumnFormula>IF(Table14513[[#This Row],[Gross]]&gt;0,Table14513[[#This Row],[Gross]]-Table14513[[#This Row],[HCP]],0)</calculatedColumnFormula>
    </tableColumn>
    <tableColumn id="25" name="HCP" dataDxfId="147">
      <calculatedColumnFormula>VLOOKUP(Table14513[[#This Row],[Hole]],'Player Info'!A:C,3,0)</calculatedColumnFormula>
    </tableColumn>
    <tableColumn id="24" name="Game" dataDxfId="146"/>
    <tableColumn id="26" name="GHCP" dataDxfId="145"/>
    <tableColumn id="32" name="Match Score" dataDxfId="144"/>
    <tableColumn id="31" name="Cup Points" dataDxfId="143"/>
    <tableColumn id="27" name="Team" dataDxfId="142">
      <calculatedColumnFormula>VLOOKUP(Table14513[[#This Row],[Hole]],'Player Info'!A:B,2,0)</calculatedColumnFormula>
    </tableColumn>
  </tableColumns>
  <tableStyleInfo name="TableStyleMedium2" showFirstColumn="0" showLastColumn="0" showRowStripes="1" showColumnStripes="0"/>
</table>
</file>

<file path=xl/tables/table6.xml><?xml version="1.0" encoding="utf-8"?>
<table xmlns="http://schemas.openxmlformats.org/spreadsheetml/2006/main" id="13" name="Table145814" displayName="Table145814" ref="A176:AC188" totalsRowShown="0" headerRowDxfId="141" dataDxfId="140" tableBorderDxfId="139">
  <autoFilter ref="A176:AC188"/>
  <sortState ref="A177:AC188">
    <sortCondition ref="AA176:AA188"/>
  </sortState>
  <tableColumns count="29">
    <tableColumn id="1" name="Player" dataDxfId="138"/>
    <tableColumn id="2" name="1" dataDxfId="137"/>
    <tableColumn id="3" name="2" dataDxfId="136"/>
    <tableColumn id="4" name="3" dataDxfId="135"/>
    <tableColumn id="5" name="4" dataDxfId="134"/>
    <tableColumn id="6" name="5" dataDxfId="133"/>
    <tableColumn id="7" name="6" dataDxfId="132"/>
    <tableColumn id="8" name="7" dataDxfId="131"/>
    <tableColumn id="9" name="8" dataDxfId="130"/>
    <tableColumn id="10" name="9" dataDxfId="129"/>
    <tableColumn id="11" name="10" dataDxfId="128"/>
    <tableColumn id="12" name="11" dataDxfId="127"/>
    <tableColumn id="13" name="12" dataDxfId="126"/>
    <tableColumn id="14" name="13" dataDxfId="125"/>
    <tableColumn id="15" name="14" dataDxfId="124"/>
    <tableColumn id="16" name="15" dataDxfId="123"/>
    <tableColumn id="17" name="16" dataDxfId="122"/>
    <tableColumn id="18" name="17" dataDxfId="121"/>
    <tableColumn id="19" name="18" dataDxfId="120"/>
    <tableColumn id="20" name="Out" dataDxfId="119">
      <calculatedColumnFormula>SUM(Table145814[[#This Row],[1]:[9]])</calculatedColumnFormula>
    </tableColumn>
    <tableColumn id="21" name="In" dataDxfId="118">
      <calculatedColumnFormula>SUM(Table145814[[#This Row],[10]:[18]])</calculatedColumnFormula>
    </tableColumn>
    <tableColumn id="22" name="Gross" dataDxfId="117">
      <calculatedColumnFormula>SUM(Table145814[[#This Row],[Out]:[In]])</calculatedColumnFormula>
    </tableColumn>
    <tableColumn id="23" name="Net" dataDxfId="116">
      <calculatedColumnFormula>IF(Table145814[[#This Row],[Gross]]&gt;0,Table145814[[#This Row],[Gross]]-Table145814[[#This Row],[HCP]],0)</calculatedColumnFormula>
    </tableColumn>
    <tableColumn id="25" name="HCP" dataDxfId="115">
      <calculatedColumnFormula>VLOOKUP(Table145814[[#This Row],[Player]],'Player Info'!A:C,3,0)</calculatedColumnFormula>
    </tableColumn>
    <tableColumn id="24" name="Game" dataDxfId="114"/>
    <tableColumn id="26" name="GHCP" dataDxfId="113"/>
    <tableColumn id="32" name="R1/R2 Tot Net" dataDxfId="112"/>
    <tableColumn id="31" name="Cup Points" dataDxfId="111"/>
    <tableColumn id="27" name="Team" dataDxfId="110">
      <calculatedColumnFormula>VLOOKUP(Table145814[[#This Row],[Player]],'Player Info'!A:B,2,0)</calculatedColumnFormula>
    </tableColumn>
  </tableColumns>
  <tableStyleInfo name="TableStyleMedium2" showFirstColumn="0" showLastColumn="0" showRowStripes="1" showColumnStripes="0"/>
</table>
</file>

<file path=xl/tables/table7.xml><?xml version="1.0" encoding="utf-8"?>
<table xmlns="http://schemas.openxmlformats.org/spreadsheetml/2006/main" id="17" name="Table1918" displayName="Table1918" ref="A63:S75" totalsRowShown="0" headerRowDxfId="109" dataDxfId="108" tableBorderDxfId="107">
  <autoFilter ref="A63:S75"/>
  <sortState ref="A64:S75">
    <sortCondition ref="O5:O17"/>
  </sortState>
  <tableColumns count="19">
    <tableColumn id="1" name="Hole" dataDxfId="106"/>
    <tableColumn id="2" name="1" dataDxfId="105"/>
    <tableColumn id="3" name="2" dataDxfId="104"/>
    <tableColumn id="4" name="3" dataDxfId="103"/>
    <tableColumn id="5" name="4" dataDxfId="102"/>
    <tableColumn id="6" name="5" dataDxfId="101"/>
    <tableColumn id="7" name="6" dataDxfId="100"/>
    <tableColumn id="8" name="7" dataDxfId="99"/>
    <tableColumn id="9" name="8" dataDxfId="98"/>
    <tableColumn id="10" name="9" dataDxfId="97"/>
    <tableColumn id="20" name="Out" dataDxfId="96">
      <calculatedColumnFormula>SUM(Table1918[[#This Row],[1]:[9]])</calculatedColumnFormula>
    </tableColumn>
    <tableColumn id="22" name="Gross" dataDxfId="95">
      <calculatedColumnFormula>Table1918[[#This Row],[Out]]</calculatedColumnFormula>
    </tableColumn>
    <tableColumn id="23" name="Net" dataDxfId="94">
      <calculatedColumnFormula>IF(Table1918[[#This Row],[Gross]]&gt;0,Table1918[[#This Row],[Gross]]-Table1918[[#This Row],[HCP]],0)</calculatedColumnFormula>
    </tableColumn>
    <tableColumn id="25" name="HCP" dataDxfId="93">
      <calculatedColumnFormula>VLOOKUP(Table1918[[#This Row],[Hole]],'Player Info'!A:C,3,0)/2</calculatedColumnFormula>
    </tableColumn>
    <tableColumn id="24" name="Game" dataDxfId="92"/>
    <tableColumn id="26" name="GHCP" dataDxfId="91"/>
    <tableColumn id="11" name="Match" dataDxfId="90"/>
    <tableColumn id="31" name="Cup Points" dataDxfId="89"/>
    <tableColumn id="27" name="Team" dataDxfId="88">
      <calculatedColumnFormula>VLOOKUP(Table1918[[#This Row],[Hole]],'Player Info'!A:B,2,0)</calculatedColumnFormula>
    </tableColumn>
  </tableColumns>
  <tableStyleInfo name="TableStyleMedium2" showFirstColumn="0" showLastColumn="0" showRowStripes="1" showColumnStripes="0"/>
</table>
</file>

<file path=xl/tables/table8.xml><?xml version="1.0" encoding="utf-8"?>
<table xmlns="http://schemas.openxmlformats.org/spreadsheetml/2006/main" id="18" name="Table191519" displayName="Table191519" ref="A82:S94" totalsRowShown="0" headerRowDxfId="87" dataDxfId="86" tableBorderDxfId="85">
  <autoFilter ref="A82:S94"/>
  <sortState ref="A83:S94">
    <sortCondition ref="O82:O94"/>
  </sortState>
  <tableColumns count="19">
    <tableColumn id="1" name="Hole" dataDxfId="84"/>
    <tableColumn id="2" name="10" dataDxfId="83"/>
    <tableColumn id="3" name="11" dataDxfId="82"/>
    <tableColumn id="4" name="12" dataDxfId="81"/>
    <tableColumn id="5" name="13" dataDxfId="80"/>
    <tableColumn id="6" name="14" dataDxfId="79"/>
    <tableColumn id="7" name="15" dataDxfId="78"/>
    <tableColumn id="8" name="16" dataDxfId="77"/>
    <tableColumn id="9" name="17" dataDxfId="76"/>
    <tableColumn id="10" name="18" dataDxfId="75"/>
    <tableColumn id="20" name="In" dataDxfId="74">
      <calculatedColumnFormula>SUM(Table191519[[#This Row],[10]:[18]])</calculatedColumnFormula>
    </tableColumn>
    <tableColumn id="22" name="Gross" dataDxfId="73">
      <calculatedColumnFormula>Table191519[[#This Row],[In]]</calculatedColumnFormula>
    </tableColumn>
    <tableColumn id="23" name="Net" dataDxfId="72">
      <calculatedColumnFormula>IF(Table191519[[#This Row],[Gross]]&gt;0,Table191519[[#This Row],[Gross]]-Table191519[[#This Row],[HCP]],0)</calculatedColumnFormula>
    </tableColumn>
    <tableColumn id="25" name="HCP" dataDxfId="71">
      <calculatedColumnFormula>VLOOKUP(Table191519[[#This Row],[Hole]],'Player Info'!A:C,3,0)/2</calculatedColumnFormula>
    </tableColumn>
    <tableColumn id="24" name="Game" dataDxfId="70"/>
    <tableColumn id="26" name="GHCP" dataDxfId="69"/>
    <tableColumn id="11" name="Match" dataDxfId="68"/>
    <tableColumn id="31" name="Cup Points" dataDxfId="67"/>
    <tableColumn id="27" name="Team" dataDxfId="66">
      <calculatedColumnFormula>VLOOKUP(Table191519[[#This Row],[Hole]],'Player Info'!A:B,2,0)</calculatedColumnFormula>
    </tableColumn>
  </tableColumns>
  <tableStyleInfo name="TableStyleMedium2" showFirstColumn="0" showLastColumn="0" showRowStripes="1" showColumnStripes="0"/>
</table>
</file>

<file path=xl/tables/table9.xml><?xml version="1.0" encoding="utf-8"?>
<table xmlns="http://schemas.openxmlformats.org/spreadsheetml/2006/main" id="19" name="Table191620" displayName="Table191620" ref="A101:S113" totalsRowShown="0" headerRowDxfId="65" dataDxfId="64" tableBorderDxfId="63">
  <autoFilter ref="A101:S113"/>
  <sortState ref="A102:S113">
    <sortCondition ref="O101:O113"/>
  </sortState>
  <tableColumns count="19">
    <tableColumn id="1" name="Hole" dataDxfId="62"/>
    <tableColumn id="2" name="1" dataDxfId="61"/>
    <tableColumn id="3" name="2" dataDxfId="60"/>
    <tableColumn id="4" name="3" dataDxfId="59"/>
    <tableColumn id="5" name="4" dataDxfId="58"/>
    <tableColumn id="6" name="5" dataDxfId="57"/>
    <tableColumn id="7" name="6" dataDxfId="56"/>
    <tableColumn id="8" name="7" dataDxfId="55"/>
    <tableColumn id="9" name="8" dataDxfId="54"/>
    <tableColumn id="10" name="9" dataDxfId="53"/>
    <tableColumn id="20" name="Out" dataDxfId="52">
      <calculatedColumnFormula>SUM(Table191620[[#This Row],[1]:[9]])</calculatedColumnFormula>
    </tableColumn>
    <tableColumn id="22" name="Gross" dataDxfId="51">
      <calculatedColumnFormula>Table191620[[#This Row],[Out]]</calculatedColumnFormula>
    </tableColumn>
    <tableColumn id="23" name="Net" dataDxfId="50">
      <calculatedColumnFormula>IF(Table191620[[#This Row],[Gross]]&gt;0,Table191620[[#This Row],[Gross]]-Table191620[[#This Row],[HCP]],0)</calculatedColumnFormula>
    </tableColumn>
    <tableColumn id="25" name="HCP" dataDxfId="49">
      <calculatedColumnFormula>VLOOKUP(Table191620[[#This Row],[Hole]],'Player Info'!A:C,3,0)/2</calculatedColumnFormula>
    </tableColumn>
    <tableColumn id="24" name="Game" dataDxfId="48"/>
    <tableColumn id="26" name="GHCP" dataDxfId="47"/>
    <tableColumn id="11" name="Match" dataDxfId="46"/>
    <tableColumn id="31" name="Cup Points" dataDxfId="45"/>
    <tableColumn id="27" name="Team" dataDxfId="44">
      <calculatedColumnFormula>VLOOKUP(Table191620[[#This Row],[Hole]],'Player Info'!A:B,2,0)</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ivotTable" Target="../pivotTables/pivotTable4.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ivotTable" Target="../pivotTables/pivotTable2.xm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ivotTable" Target="../pivotTables/pivot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87"/>
  <sheetViews>
    <sheetView tabSelected="1" view="pageBreakPreview" zoomScale="70" zoomScaleNormal="70" zoomScaleSheetLayoutView="70" workbookViewId="0">
      <selection activeCell="P75" sqref="P75"/>
    </sheetView>
  </sheetViews>
  <sheetFormatPr defaultRowHeight="15" x14ac:dyDescent="0.25"/>
  <cols>
    <col min="1" max="1" width="2.5703125" customWidth="1"/>
    <col min="2" max="2" width="2.7109375" customWidth="1"/>
    <col min="13" max="13" width="2.5703125" customWidth="1"/>
  </cols>
  <sheetData>
    <row r="1" spans="2:13" ht="15.75" thickBot="1" x14ac:dyDescent="0.3"/>
    <row r="2" spans="2:13" x14ac:dyDescent="0.25">
      <c r="B2" s="112"/>
      <c r="C2" s="113"/>
      <c r="D2" s="113"/>
      <c r="E2" s="113"/>
      <c r="F2" s="113"/>
      <c r="G2" s="113"/>
      <c r="H2" s="113"/>
      <c r="I2" s="113"/>
      <c r="J2" s="113"/>
      <c r="K2" s="113"/>
      <c r="L2" s="113"/>
      <c r="M2" s="114"/>
    </row>
    <row r="3" spans="2:13" x14ac:dyDescent="0.25">
      <c r="B3" s="115"/>
      <c r="C3" s="116"/>
      <c r="D3" s="116"/>
      <c r="E3" s="116"/>
      <c r="F3" s="116"/>
      <c r="G3" s="116"/>
      <c r="H3" s="116"/>
      <c r="I3" s="116"/>
      <c r="J3" s="116"/>
      <c r="K3" s="116"/>
      <c r="L3" s="116"/>
      <c r="M3" s="117"/>
    </row>
    <row r="4" spans="2:13" x14ac:dyDescent="0.25">
      <c r="B4" s="115"/>
      <c r="C4" s="116"/>
      <c r="D4" s="116"/>
      <c r="E4" s="116"/>
      <c r="F4" s="116"/>
      <c r="G4" s="116"/>
      <c r="H4" s="116"/>
      <c r="I4" s="116"/>
      <c r="J4" s="116"/>
      <c r="K4" s="116"/>
      <c r="L4" s="116"/>
      <c r="M4" s="117"/>
    </row>
    <row r="5" spans="2:13" x14ac:dyDescent="0.25">
      <c r="B5" s="115"/>
      <c r="C5" s="116"/>
      <c r="D5" s="116"/>
      <c r="E5" s="116"/>
      <c r="F5" s="116"/>
      <c r="G5" s="116"/>
      <c r="H5" s="116"/>
      <c r="I5" s="116"/>
      <c r="J5" s="116"/>
      <c r="K5" s="116"/>
      <c r="L5" s="116"/>
      <c r="M5" s="117"/>
    </row>
    <row r="6" spans="2:13" x14ac:dyDescent="0.25">
      <c r="B6" s="115"/>
      <c r="C6" s="116"/>
      <c r="D6" s="116"/>
      <c r="E6" s="116"/>
      <c r="F6" s="116"/>
      <c r="G6" s="116"/>
      <c r="H6" s="116"/>
      <c r="I6" s="116"/>
      <c r="J6" s="116"/>
      <c r="K6" s="116"/>
      <c r="L6" s="116"/>
      <c r="M6" s="117"/>
    </row>
    <row r="7" spans="2:13" x14ac:dyDescent="0.25">
      <c r="B7" s="115"/>
      <c r="C7" s="116"/>
      <c r="D7" s="116"/>
      <c r="E7" s="116"/>
      <c r="F7" s="116"/>
      <c r="G7" s="116"/>
      <c r="H7" s="116"/>
      <c r="I7" s="116"/>
      <c r="J7" s="116"/>
      <c r="K7" s="116"/>
      <c r="L7" s="116"/>
      <c r="M7" s="117"/>
    </row>
    <row r="8" spans="2:13" x14ac:dyDescent="0.25">
      <c r="B8" s="115"/>
      <c r="C8" s="116"/>
      <c r="D8" s="116"/>
      <c r="E8" s="116"/>
      <c r="F8" s="116"/>
      <c r="G8" s="116"/>
      <c r="H8" s="116"/>
      <c r="I8" s="116"/>
      <c r="J8" s="116"/>
      <c r="K8" s="116"/>
      <c r="L8" s="116"/>
      <c r="M8" s="117"/>
    </row>
    <row r="9" spans="2:13" x14ac:dyDescent="0.25">
      <c r="B9" s="115"/>
      <c r="C9" s="116"/>
      <c r="D9" s="116"/>
      <c r="E9" s="116"/>
      <c r="F9" s="116"/>
      <c r="G9" s="116"/>
      <c r="H9" s="116"/>
      <c r="I9" s="116"/>
      <c r="J9" s="116"/>
      <c r="K9" s="116"/>
      <c r="L9" s="116"/>
      <c r="M9" s="117"/>
    </row>
    <row r="10" spans="2:13" x14ac:dyDescent="0.25">
      <c r="B10" s="115"/>
      <c r="C10" s="116"/>
      <c r="D10" s="116"/>
      <c r="E10" s="116"/>
      <c r="F10" s="116"/>
      <c r="G10" s="116"/>
      <c r="H10" s="116"/>
      <c r="I10" s="116"/>
      <c r="J10" s="116"/>
      <c r="K10" s="116"/>
      <c r="L10" s="116"/>
      <c r="M10" s="117"/>
    </row>
    <row r="11" spans="2:13" x14ac:dyDescent="0.25">
      <c r="B11" s="115"/>
      <c r="C11" s="116"/>
      <c r="D11" s="116"/>
      <c r="E11" s="116"/>
      <c r="F11" s="116"/>
      <c r="G11" s="116"/>
      <c r="H11" s="116"/>
      <c r="I11" s="116"/>
      <c r="J11" s="116"/>
      <c r="K11" s="116"/>
      <c r="L11" s="116"/>
      <c r="M11" s="117"/>
    </row>
    <row r="12" spans="2:13" x14ac:dyDescent="0.25">
      <c r="B12" s="115"/>
      <c r="C12" s="116"/>
      <c r="D12" s="116"/>
      <c r="E12" s="116"/>
      <c r="F12" s="116"/>
      <c r="G12" s="116"/>
      <c r="H12" s="116"/>
      <c r="I12" s="116"/>
      <c r="J12" s="116"/>
      <c r="K12" s="116"/>
      <c r="L12" s="116"/>
      <c r="M12" s="117"/>
    </row>
    <row r="13" spans="2:13" x14ac:dyDescent="0.25">
      <c r="B13" s="115"/>
      <c r="C13" s="116"/>
      <c r="D13" s="116"/>
      <c r="E13" s="116"/>
      <c r="F13" s="116"/>
      <c r="G13" s="116"/>
      <c r="H13" s="116"/>
      <c r="I13" s="116"/>
      <c r="J13" s="116"/>
      <c r="K13" s="116"/>
      <c r="L13" s="116"/>
      <c r="M13" s="117"/>
    </row>
    <row r="14" spans="2:13" x14ac:dyDescent="0.25">
      <c r="B14" s="115"/>
      <c r="C14" s="116"/>
      <c r="D14" s="116"/>
      <c r="E14" s="116"/>
      <c r="F14" s="116"/>
      <c r="G14" s="116"/>
      <c r="H14" s="116"/>
      <c r="I14" s="116"/>
      <c r="J14" s="116"/>
      <c r="K14" s="116"/>
      <c r="L14" s="116"/>
      <c r="M14" s="117"/>
    </row>
    <row r="15" spans="2:13" x14ac:dyDescent="0.25">
      <c r="B15" s="115"/>
      <c r="C15" s="116"/>
      <c r="D15" s="116"/>
      <c r="E15" s="116"/>
      <c r="F15" s="116"/>
      <c r="G15" s="116"/>
      <c r="H15" s="116"/>
      <c r="I15" s="116"/>
      <c r="J15" s="116"/>
      <c r="K15" s="116"/>
      <c r="L15" s="116"/>
      <c r="M15" s="117"/>
    </row>
    <row r="16" spans="2:13" x14ac:dyDescent="0.25">
      <c r="B16" s="115"/>
      <c r="C16" s="116"/>
      <c r="D16" s="116"/>
      <c r="E16" s="116"/>
      <c r="F16" s="116"/>
      <c r="G16" s="116"/>
      <c r="H16" s="116"/>
      <c r="I16" s="116"/>
      <c r="J16" s="116"/>
      <c r="K16" s="116"/>
      <c r="L16" s="116"/>
      <c r="M16" s="117"/>
    </row>
    <row r="17" spans="2:13" x14ac:dyDescent="0.25">
      <c r="B17" s="115"/>
      <c r="C17" s="116"/>
      <c r="D17" s="116"/>
      <c r="E17" s="116"/>
      <c r="F17" s="116"/>
      <c r="G17" s="116"/>
      <c r="H17" s="116"/>
      <c r="I17" s="116"/>
      <c r="J17" s="116"/>
      <c r="K17" s="116"/>
      <c r="L17" s="116"/>
      <c r="M17" s="117"/>
    </row>
    <row r="18" spans="2:13" x14ac:dyDescent="0.25">
      <c r="B18" s="115"/>
      <c r="C18" s="116"/>
      <c r="D18" s="116"/>
      <c r="E18" s="116"/>
      <c r="F18" s="116"/>
      <c r="G18" s="116"/>
      <c r="H18" s="116"/>
      <c r="I18" s="116"/>
      <c r="J18" s="116"/>
      <c r="K18" s="116"/>
      <c r="L18" s="116"/>
      <c r="M18" s="117"/>
    </row>
    <row r="19" spans="2:13" x14ac:dyDescent="0.25">
      <c r="B19" s="115"/>
      <c r="C19" s="116"/>
      <c r="D19" s="116"/>
      <c r="E19" s="116"/>
      <c r="F19" s="116"/>
      <c r="G19" s="116"/>
      <c r="H19" s="116"/>
      <c r="I19" s="116"/>
      <c r="J19" s="116"/>
      <c r="K19" s="116"/>
      <c r="L19" s="116"/>
      <c r="M19" s="117"/>
    </row>
    <row r="20" spans="2:13" x14ac:dyDescent="0.25">
      <c r="B20" s="115"/>
      <c r="C20" s="116"/>
      <c r="D20" s="116"/>
      <c r="E20" s="116"/>
      <c r="F20" s="116"/>
      <c r="G20" s="116"/>
      <c r="H20" s="116"/>
      <c r="I20" s="116"/>
      <c r="J20" s="116"/>
      <c r="K20" s="116"/>
      <c r="L20" s="116"/>
      <c r="M20" s="117"/>
    </row>
    <row r="21" spans="2:13" x14ac:dyDescent="0.25">
      <c r="B21" s="115"/>
      <c r="C21" s="116"/>
      <c r="D21" s="116"/>
      <c r="E21" s="116"/>
      <c r="F21" s="116"/>
      <c r="G21" s="116"/>
      <c r="H21" s="116"/>
      <c r="I21" s="116"/>
      <c r="J21" s="116"/>
      <c r="K21" s="116"/>
      <c r="L21" s="116"/>
      <c r="M21" s="117"/>
    </row>
    <row r="22" spans="2:13" x14ac:dyDescent="0.25">
      <c r="B22" s="115"/>
      <c r="C22" s="116"/>
      <c r="D22" s="116"/>
      <c r="E22" s="116"/>
      <c r="F22" s="116"/>
      <c r="G22" s="116"/>
      <c r="H22" s="116"/>
      <c r="I22" s="116"/>
      <c r="J22" s="116"/>
      <c r="K22" s="116"/>
      <c r="L22" s="116"/>
      <c r="M22" s="117"/>
    </row>
    <row r="23" spans="2:13" x14ac:dyDescent="0.25">
      <c r="B23" s="115"/>
      <c r="C23" s="116"/>
      <c r="D23" s="116"/>
      <c r="E23" s="116"/>
      <c r="F23" s="116"/>
      <c r="G23" s="116"/>
      <c r="H23" s="116"/>
      <c r="I23" s="116"/>
      <c r="J23" s="116"/>
      <c r="K23" s="116"/>
      <c r="L23" s="116"/>
      <c r="M23" s="117"/>
    </row>
    <row r="24" spans="2:13" x14ac:dyDescent="0.25">
      <c r="B24" s="115"/>
      <c r="C24" s="116"/>
      <c r="D24" s="116"/>
      <c r="E24" s="116"/>
      <c r="F24" s="116"/>
      <c r="G24" s="116"/>
      <c r="H24" s="116"/>
      <c r="I24" s="116"/>
      <c r="J24" s="116"/>
      <c r="K24" s="116"/>
      <c r="L24" s="116"/>
      <c r="M24" s="117"/>
    </row>
    <row r="25" spans="2:13" x14ac:dyDescent="0.25">
      <c r="B25" s="115"/>
      <c r="C25" s="116"/>
      <c r="D25" s="116"/>
      <c r="E25" s="116"/>
      <c r="F25" s="116"/>
      <c r="G25" s="116"/>
      <c r="H25" s="116"/>
      <c r="I25" s="116"/>
      <c r="J25" s="116"/>
      <c r="K25" s="116"/>
      <c r="L25" s="116"/>
      <c r="M25" s="117"/>
    </row>
    <row r="26" spans="2:13" x14ac:dyDescent="0.25">
      <c r="B26" s="115"/>
      <c r="C26" s="116"/>
      <c r="D26" s="116"/>
      <c r="E26" s="116"/>
      <c r="F26" s="116"/>
      <c r="G26" s="116"/>
      <c r="H26" s="116"/>
      <c r="I26" s="116"/>
      <c r="J26" s="116"/>
      <c r="K26" s="116"/>
      <c r="L26" s="116"/>
      <c r="M26" s="117"/>
    </row>
    <row r="27" spans="2:13" x14ac:dyDescent="0.25">
      <c r="B27" s="115"/>
      <c r="C27" s="116"/>
      <c r="D27" s="116"/>
      <c r="E27" s="116"/>
      <c r="F27" s="116"/>
      <c r="G27" s="116"/>
      <c r="H27" s="116"/>
      <c r="I27" s="116"/>
      <c r="J27" s="116"/>
      <c r="K27" s="116"/>
      <c r="L27" s="116"/>
      <c r="M27" s="117"/>
    </row>
    <row r="28" spans="2:13" x14ac:dyDescent="0.25">
      <c r="B28" s="115"/>
      <c r="C28" s="116"/>
      <c r="D28" s="116"/>
      <c r="E28" s="116"/>
      <c r="F28" s="116"/>
      <c r="G28" s="116"/>
      <c r="H28" s="116"/>
      <c r="I28" s="116"/>
      <c r="J28" s="116"/>
      <c r="K28" s="116"/>
      <c r="L28" s="116"/>
      <c r="M28" s="117"/>
    </row>
    <row r="29" spans="2:13" x14ac:dyDescent="0.25">
      <c r="B29" s="115"/>
      <c r="C29" s="116"/>
      <c r="D29" s="116"/>
      <c r="E29" s="116"/>
      <c r="F29" s="116"/>
      <c r="G29" s="116"/>
      <c r="H29" s="116"/>
      <c r="I29" s="116"/>
      <c r="J29" s="116"/>
      <c r="K29" s="116"/>
      <c r="L29" s="116"/>
      <c r="M29" s="117"/>
    </row>
    <row r="30" spans="2:13" x14ac:dyDescent="0.25">
      <c r="B30" s="115"/>
      <c r="C30" s="116"/>
      <c r="D30" s="116"/>
      <c r="E30" s="116"/>
      <c r="F30" s="116"/>
      <c r="G30" s="116"/>
      <c r="H30" s="116"/>
      <c r="I30" s="116"/>
      <c r="J30" s="116"/>
      <c r="K30" s="116"/>
      <c r="L30" s="116"/>
      <c r="M30" s="117"/>
    </row>
    <row r="31" spans="2:13" x14ac:dyDescent="0.25">
      <c r="B31" s="115"/>
      <c r="C31" s="116"/>
      <c r="D31" s="116"/>
      <c r="E31" s="116"/>
      <c r="F31" s="116"/>
      <c r="G31" s="116"/>
      <c r="H31" s="116"/>
      <c r="I31" s="116"/>
      <c r="J31" s="116"/>
      <c r="K31" s="116"/>
      <c r="L31" s="116"/>
      <c r="M31" s="117"/>
    </row>
    <row r="32" spans="2:13" x14ac:dyDescent="0.25">
      <c r="B32" s="115"/>
      <c r="C32" s="116"/>
      <c r="D32" s="116"/>
      <c r="E32" s="116"/>
      <c r="F32" s="116"/>
      <c r="G32" s="116"/>
      <c r="H32" s="116"/>
      <c r="I32" s="116"/>
      <c r="J32" s="116"/>
      <c r="K32" s="116"/>
      <c r="L32" s="116"/>
      <c r="M32" s="117"/>
    </row>
    <row r="33" spans="2:13" x14ac:dyDescent="0.25">
      <c r="B33" s="115"/>
      <c r="C33" s="116"/>
      <c r="D33" s="116"/>
      <c r="E33" s="116"/>
      <c r="F33" s="116"/>
      <c r="G33" s="116"/>
      <c r="H33" s="116"/>
      <c r="I33" s="116"/>
      <c r="J33" s="116"/>
      <c r="K33" s="116"/>
      <c r="L33" s="116"/>
      <c r="M33" s="117"/>
    </row>
    <row r="34" spans="2:13" x14ac:dyDescent="0.25">
      <c r="B34" s="115"/>
      <c r="C34" s="116"/>
      <c r="D34" s="116"/>
      <c r="E34" s="116"/>
      <c r="F34" s="116"/>
      <c r="G34" s="116"/>
      <c r="H34" s="116"/>
      <c r="I34" s="116"/>
      <c r="J34" s="116"/>
      <c r="K34" s="116"/>
      <c r="L34" s="116"/>
      <c r="M34" s="117"/>
    </row>
    <row r="35" spans="2:13" x14ac:dyDescent="0.25">
      <c r="B35" s="115"/>
      <c r="C35" s="116"/>
      <c r="D35" s="116"/>
      <c r="E35" s="116"/>
      <c r="F35" s="116"/>
      <c r="G35" s="116"/>
      <c r="H35" s="116"/>
      <c r="I35" s="116"/>
      <c r="J35" s="116"/>
      <c r="K35" s="116"/>
      <c r="L35" s="116"/>
      <c r="M35" s="117"/>
    </row>
    <row r="36" spans="2:13" x14ac:dyDescent="0.25">
      <c r="B36" s="115"/>
      <c r="C36" s="116"/>
      <c r="D36" s="116"/>
      <c r="E36" s="116"/>
      <c r="F36" s="116"/>
      <c r="G36" s="116"/>
      <c r="H36" s="116"/>
      <c r="I36" s="116"/>
      <c r="J36" s="116"/>
      <c r="K36" s="116"/>
      <c r="L36" s="116"/>
      <c r="M36" s="117"/>
    </row>
    <row r="37" spans="2:13" x14ac:dyDescent="0.25">
      <c r="B37" s="115"/>
      <c r="C37" s="116"/>
      <c r="D37" s="116"/>
      <c r="E37" s="116"/>
      <c r="F37" s="116"/>
      <c r="G37" s="116"/>
      <c r="H37" s="116"/>
      <c r="I37" s="116"/>
      <c r="J37" s="116"/>
      <c r="K37" s="116"/>
      <c r="L37" s="116"/>
      <c r="M37" s="117"/>
    </row>
    <row r="38" spans="2:13" x14ac:dyDescent="0.25">
      <c r="B38" s="115"/>
      <c r="C38" s="116"/>
      <c r="D38" s="116"/>
      <c r="E38" s="116"/>
      <c r="F38" s="116"/>
      <c r="G38" s="116"/>
      <c r="H38" s="116"/>
      <c r="I38" s="116"/>
      <c r="J38" s="116"/>
      <c r="K38" s="116"/>
      <c r="L38" s="116"/>
      <c r="M38" s="117"/>
    </row>
    <row r="39" spans="2:13" x14ac:dyDescent="0.25">
      <c r="B39" s="115"/>
      <c r="C39" s="116"/>
      <c r="D39" s="116"/>
      <c r="E39" s="116"/>
      <c r="F39" s="116"/>
      <c r="G39" s="116"/>
      <c r="H39" s="116"/>
      <c r="I39" s="116"/>
      <c r="J39" s="116"/>
      <c r="K39" s="116"/>
      <c r="L39" s="116"/>
      <c r="M39" s="117"/>
    </row>
    <row r="40" spans="2:13" x14ac:dyDescent="0.25">
      <c r="B40" s="115"/>
      <c r="C40" s="116"/>
      <c r="D40" s="116"/>
      <c r="E40" s="116"/>
      <c r="F40" s="116"/>
      <c r="G40" s="116"/>
      <c r="H40" s="116"/>
      <c r="I40" s="116"/>
      <c r="J40" s="116"/>
      <c r="K40" s="116"/>
      <c r="L40" s="116"/>
      <c r="M40" s="117"/>
    </row>
    <row r="41" spans="2:13" x14ac:dyDescent="0.25">
      <c r="B41" s="115"/>
      <c r="C41" s="116"/>
      <c r="D41" s="116"/>
      <c r="E41" s="116"/>
      <c r="F41" s="116"/>
      <c r="G41" s="116"/>
      <c r="H41" s="116"/>
      <c r="I41" s="116"/>
      <c r="J41" s="116"/>
      <c r="K41" s="116"/>
      <c r="L41" s="116"/>
      <c r="M41" s="117"/>
    </row>
    <row r="42" spans="2:13" x14ac:dyDescent="0.25">
      <c r="B42" s="115"/>
      <c r="C42" s="116"/>
      <c r="D42" s="116"/>
      <c r="E42" s="116"/>
      <c r="F42" s="116"/>
      <c r="G42" s="116"/>
      <c r="H42" s="116"/>
      <c r="I42" s="116"/>
      <c r="J42" s="116"/>
      <c r="K42" s="116"/>
      <c r="L42" s="116"/>
      <c r="M42" s="117"/>
    </row>
    <row r="43" spans="2:13" x14ac:dyDescent="0.25">
      <c r="B43" s="115"/>
      <c r="C43" s="116"/>
      <c r="D43" s="116"/>
      <c r="E43" s="116"/>
      <c r="F43" s="116"/>
      <c r="G43" s="116"/>
      <c r="H43" s="116"/>
      <c r="I43" s="116"/>
      <c r="J43" s="116"/>
      <c r="K43" s="116"/>
      <c r="L43" s="116"/>
      <c r="M43" s="117"/>
    </row>
    <row r="44" spans="2:13" x14ac:dyDescent="0.25">
      <c r="B44" s="115"/>
      <c r="C44" s="116"/>
      <c r="D44" s="116"/>
      <c r="E44" s="116"/>
      <c r="F44" s="116"/>
      <c r="G44" s="116"/>
      <c r="H44" s="116"/>
      <c r="I44" s="116"/>
      <c r="J44" s="116"/>
      <c r="K44" s="116"/>
      <c r="L44" s="116"/>
      <c r="M44" s="117"/>
    </row>
    <row r="45" spans="2:13" x14ac:dyDescent="0.25">
      <c r="B45" s="115"/>
      <c r="C45" s="116"/>
      <c r="D45" s="116"/>
      <c r="E45" s="116"/>
      <c r="F45" s="116"/>
      <c r="G45" s="116"/>
      <c r="H45" s="116"/>
      <c r="I45" s="116"/>
      <c r="J45" s="116"/>
      <c r="K45" s="116"/>
      <c r="L45" s="116"/>
      <c r="M45" s="117"/>
    </row>
    <row r="46" spans="2:13" x14ac:dyDescent="0.25">
      <c r="B46" s="115"/>
      <c r="C46" s="116"/>
      <c r="D46" s="116"/>
      <c r="E46" s="116"/>
      <c r="F46" s="116"/>
      <c r="G46" s="116"/>
      <c r="H46" s="116"/>
      <c r="I46" s="116"/>
      <c r="J46" s="116"/>
      <c r="K46" s="116"/>
      <c r="L46" s="116"/>
      <c r="M46" s="117"/>
    </row>
    <row r="47" spans="2:13" x14ac:dyDescent="0.25">
      <c r="B47" s="115"/>
      <c r="C47" s="116"/>
      <c r="D47" s="116"/>
      <c r="E47" s="116"/>
      <c r="F47" s="116"/>
      <c r="G47" s="116"/>
      <c r="H47" s="116"/>
      <c r="I47" s="116"/>
      <c r="J47" s="116"/>
      <c r="K47" s="116"/>
      <c r="L47" s="116"/>
      <c r="M47" s="117"/>
    </row>
    <row r="48" spans="2:13" x14ac:dyDescent="0.25">
      <c r="B48" s="115"/>
      <c r="C48" s="116"/>
      <c r="D48" s="116"/>
      <c r="E48" s="116"/>
      <c r="F48" s="116"/>
      <c r="G48" s="116"/>
      <c r="H48" s="116"/>
      <c r="I48" s="116"/>
      <c r="J48" s="116"/>
      <c r="K48" s="116"/>
      <c r="L48" s="116"/>
      <c r="M48" s="117"/>
    </row>
    <row r="49" spans="2:13" x14ac:dyDescent="0.25">
      <c r="B49" s="115"/>
      <c r="C49" s="116"/>
      <c r="D49" s="116"/>
      <c r="E49" s="116"/>
      <c r="F49" s="116"/>
      <c r="G49" s="116"/>
      <c r="H49" s="116"/>
      <c r="I49" s="116"/>
      <c r="J49" s="116"/>
      <c r="K49" s="116"/>
      <c r="L49" s="116"/>
      <c r="M49" s="117"/>
    </row>
    <row r="50" spans="2:13" x14ac:dyDescent="0.25">
      <c r="B50" s="115"/>
      <c r="C50" s="116"/>
      <c r="D50" s="116"/>
      <c r="E50" s="116"/>
      <c r="F50" s="116"/>
      <c r="G50" s="116"/>
      <c r="H50" s="116"/>
      <c r="I50" s="116"/>
      <c r="J50" s="116"/>
      <c r="K50" s="116"/>
      <c r="L50" s="116"/>
      <c r="M50" s="117"/>
    </row>
    <row r="51" spans="2:13" x14ac:dyDescent="0.25">
      <c r="B51" s="115"/>
      <c r="C51" s="116"/>
      <c r="D51" s="116"/>
      <c r="E51" s="116"/>
      <c r="F51" s="116"/>
      <c r="G51" s="116"/>
      <c r="H51" s="116"/>
      <c r="I51" s="116"/>
      <c r="J51" s="116"/>
      <c r="K51" s="116"/>
      <c r="L51" s="116"/>
      <c r="M51" s="117"/>
    </row>
    <row r="52" spans="2:13" x14ac:dyDescent="0.25">
      <c r="B52" s="115"/>
      <c r="C52" s="116"/>
      <c r="D52" s="116"/>
      <c r="E52" s="116"/>
      <c r="F52" s="116"/>
      <c r="G52" s="116"/>
      <c r="H52" s="116"/>
      <c r="I52" s="116"/>
      <c r="J52" s="116"/>
      <c r="K52" s="116"/>
      <c r="L52" s="116"/>
      <c r="M52" s="117"/>
    </row>
    <row r="53" spans="2:13" x14ac:dyDescent="0.25">
      <c r="B53" s="115"/>
      <c r="C53" s="116"/>
      <c r="D53" s="116"/>
      <c r="E53" s="116"/>
      <c r="F53" s="116"/>
      <c r="G53" s="116"/>
      <c r="H53" s="116"/>
      <c r="I53" s="116"/>
      <c r="J53" s="116"/>
      <c r="K53" s="116"/>
      <c r="L53" s="116"/>
      <c r="M53" s="117"/>
    </row>
    <row r="54" spans="2:13" x14ac:dyDescent="0.25">
      <c r="B54" s="115"/>
      <c r="C54" s="116"/>
      <c r="D54" s="116"/>
      <c r="E54" s="116"/>
      <c r="F54" s="116"/>
      <c r="G54" s="116"/>
      <c r="H54" s="116"/>
      <c r="I54" s="116"/>
      <c r="J54" s="116"/>
      <c r="K54" s="116"/>
      <c r="L54" s="116"/>
      <c r="M54" s="117"/>
    </row>
    <row r="55" spans="2:13" x14ac:dyDescent="0.25">
      <c r="B55" s="115"/>
      <c r="C55" s="116"/>
      <c r="D55" s="116"/>
      <c r="E55" s="116"/>
      <c r="F55" s="116"/>
      <c r="G55" s="116"/>
      <c r="H55" s="116"/>
      <c r="I55" s="116"/>
      <c r="J55" s="116"/>
      <c r="K55" s="116"/>
      <c r="L55" s="116"/>
      <c r="M55" s="117"/>
    </row>
    <row r="56" spans="2:13" x14ac:dyDescent="0.25">
      <c r="B56" s="115"/>
      <c r="C56" s="116"/>
      <c r="D56" s="116"/>
      <c r="E56" s="116"/>
      <c r="F56" s="116"/>
      <c r="G56" s="116"/>
      <c r="H56" s="116"/>
      <c r="I56" s="116"/>
      <c r="J56" s="116"/>
      <c r="K56" s="116"/>
      <c r="L56" s="116"/>
      <c r="M56" s="117"/>
    </row>
    <row r="57" spans="2:13" x14ac:dyDescent="0.25">
      <c r="B57" s="115"/>
      <c r="C57" s="116"/>
      <c r="D57" s="116"/>
      <c r="E57" s="116"/>
      <c r="F57" s="116"/>
      <c r="G57" s="116"/>
      <c r="H57" s="116"/>
      <c r="I57" s="116"/>
      <c r="J57" s="116"/>
      <c r="K57" s="116"/>
      <c r="L57" s="116"/>
      <c r="M57" s="117"/>
    </row>
    <row r="58" spans="2:13" x14ac:dyDescent="0.25">
      <c r="B58" s="115"/>
      <c r="C58" s="116"/>
      <c r="D58" s="116"/>
      <c r="E58" s="116"/>
      <c r="F58" s="116"/>
      <c r="G58" s="116"/>
      <c r="H58" s="116"/>
      <c r="I58" s="116"/>
      <c r="J58" s="116"/>
      <c r="K58" s="116"/>
      <c r="L58" s="116"/>
      <c r="M58" s="117"/>
    </row>
    <row r="59" spans="2:13" x14ac:dyDescent="0.25">
      <c r="B59" s="115"/>
      <c r="C59" s="116"/>
      <c r="D59" s="116"/>
      <c r="E59" s="116"/>
      <c r="F59" s="116"/>
      <c r="G59" s="116"/>
      <c r="H59" s="116"/>
      <c r="I59" s="116"/>
      <c r="J59" s="116"/>
      <c r="K59" s="116"/>
      <c r="L59" s="116"/>
      <c r="M59" s="117"/>
    </row>
    <row r="60" spans="2:13" x14ac:dyDescent="0.25">
      <c r="B60" s="115"/>
      <c r="C60" s="116"/>
      <c r="D60" s="116"/>
      <c r="E60" s="116"/>
      <c r="F60" s="116"/>
      <c r="G60" s="116"/>
      <c r="H60" s="116"/>
      <c r="I60" s="116"/>
      <c r="J60" s="116"/>
      <c r="K60" s="116"/>
      <c r="L60" s="116"/>
      <c r="M60" s="117"/>
    </row>
    <row r="61" spans="2:13" x14ac:dyDescent="0.25">
      <c r="B61" s="115"/>
      <c r="C61" s="116"/>
      <c r="D61" s="116"/>
      <c r="E61" s="116"/>
      <c r="F61" s="116"/>
      <c r="G61" s="116"/>
      <c r="H61" s="116"/>
      <c r="I61" s="116"/>
      <c r="J61" s="116"/>
      <c r="K61" s="116"/>
      <c r="L61" s="116"/>
      <c r="M61" s="117"/>
    </row>
    <row r="62" spans="2:13" x14ac:dyDescent="0.25">
      <c r="B62" s="115"/>
      <c r="C62" s="116"/>
      <c r="D62" s="116"/>
      <c r="E62" s="116"/>
      <c r="F62" s="116"/>
      <c r="G62" s="116"/>
      <c r="H62" s="116"/>
      <c r="I62" s="116"/>
      <c r="J62" s="116"/>
      <c r="K62" s="116"/>
      <c r="L62" s="116"/>
      <c r="M62" s="117"/>
    </row>
    <row r="63" spans="2:13" x14ac:dyDescent="0.25">
      <c r="B63" s="115"/>
      <c r="C63" s="116"/>
      <c r="D63" s="116"/>
      <c r="E63" s="116"/>
      <c r="F63" s="116"/>
      <c r="G63" s="116"/>
      <c r="H63" s="116"/>
      <c r="I63" s="116"/>
      <c r="J63" s="116"/>
      <c r="K63" s="116"/>
      <c r="L63" s="116"/>
      <c r="M63" s="117"/>
    </row>
    <row r="64" spans="2:13" x14ac:dyDescent="0.25">
      <c r="B64" s="115"/>
      <c r="C64" s="116"/>
      <c r="D64" s="116"/>
      <c r="E64" s="116"/>
      <c r="F64" s="116"/>
      <c r="G64" s="116"/>
      <c r="H64" s="116"/>
      <c r="I64" s="116"/>
      <c r="J64" s="116"/>
      <c r="K64" s="116"/>
      <c r="L64" s="116"/>
      <c r="M64" s="117"/>
    </row>
    <row r="65" spans="2:13" x14ac:dyDescent="0.25">
      <c r="B65" s="115"/>
      <c r="C65" s="116"/>
      <c r="D65" s="116"/>
      <c r="E65" s="116"/>
      <c r="F65" s="116"/>
      <c r="G65" s="116"/>
      <c r="H65" s="116"/>
      <c r="I65" s="116"/>
      <c r="J65" s="116"/>
      <c r="K65" s="116"/>
      <c r="L65" s="116"/>
      <c r="M65" s="117"/>
    </row>
    <row r="66" spans="2:13" x14ac:dyDescent="0.25">
      <c r="B66" s="115"/>
      <c r="C66" s="116"/>
      <c r="D66" s="116"/>
      <c r="E66" s="116"/>
      <c r="F66" s="116"/>
      <c r="G66" s="116"/>
      <c r="H66" s="116"/>
      <c r="I66" s="116"/>
      <c r="J66" s="116"/>
      <c r="K66" s="116"/>
      <c r="L66" s="116"/>
      <c r="M66" s="117"/>
    </row>
    <row r="67" spans="2:13" x14ac:dyDescent="0.25">
      <c r="B67" s="115"/>
      <c r="C67" s="116"/>
      <c r="D67" s="116"/>
      <c r="E67" s="116"/>
      <c r="F67" s="116"/>
      <c r="G67" s="116"/>
      <c r="H67" s="116"/>
      <c r="I67" s="116"/>
      <c r="J67" s="116"/>
      <c r="K67" s="116"/>
      <c r="L67" s="116"/>
      <c r="M67" s="117"/>
    </row>
    <row r="68" spans="2:13" x14ac:dyDescent="0.25">
      <c r="B68" s="115"/>
      <c r="C68" s="116"/>
      <c r="D68" s="116"/>
      <c r="E68" s="116"/>
      <c r="F68" s="116"/>
      <c r="G68" s="116"/>
      <c r="H68" s="116"/>
      <c r="I68" s="116"/>
      <c r="J68" s="116"/>
      <c r="K68" s="116"/>
      <c r="L68" s="116"/>
      <c r="M68" s="117"/>
    </row>
    <row r="69" spans="2:13" x14ac:dyDescent="0.25">
      <c r="B69" s="115"/>
      <c r="C69" s="116"/>
      <c r="D69" s="116"/>
      <c r="E69" s="116"/>
      <c r="F69" s="116"/>
      <c r="G69" s="116"/>
      <c r="H69" s="116"/>
      <c r="I69" s="116"/>
      <c r="J69" s="116"/>
      <c r="K69" s="116"/>
      <c r="L69" s="116"/>
      <c r="M69" s="117"/>
    </row>
    <row r="70" spans="2:13" x14ac:dyDescent="0.25">
      <c r="B70" s="115"/>
      <c r="C70" s="116"/>
      <c r="D70" s="116"/>
      <c r="E70" s="116"/>
      <c r="F70" s="116"/>
      <c r="G70" s="116"/>
      <c r="H70" s="116"/>
      <c r="I70" s="116"/>
      <c r="J70" s="116"/>
      <c r="K70" s="116"/>
      <c r="L70" s="116"/>
      <c r="M70" s="117"/>
    </row>
    <row r="71" spans="2:13" x14ac:dyDescent="0.25">
      <c r="B71" s="115"/>
      <c r="C71" s="116"/>
      <c r="D71" s="116"/>
      <c r="E71" s="116"/>
      <c r="F71" s="116"/>
      <c r="G71" s="116"/>
      <c r="H71" s="116"/>
      <c r="I71" s="116"/>
      <c r="J71" s="116"/>
      <c r="K71" s="116"/>
      <c r="L71" s="116"/>
      <c r="M71" s="117"/>
    </row>
    <row r="72" spans="2:13" x14ac:dyDescent="0.25">
      <c r="B72" s="115"/>
      <c r="C72" s="116"/>
      <c r="D72" s="116"/>
      <c r="E72" s="116"/>
      <c r="F72" s="116"/>
      <c r="G72" s="116"/>
      <c r="H72" s="116"/>
      <c r="I72" s="116"/>
      <c r="J72" s="116"/>
      <c r="K72" s="116"/>
      <c r="L72" s="116"/>
      <c r="M72" s="117"/>
    </row>
    <row r="73" spans="2:13" x14ac:dyDescent="0.25">
      <c r="B73" s="115"/>
      <c r="C73" s="116"/>
      <c r="D73" s="116"/>
      <c r="E73" s="116"/>
      <c r="F73" s="116"/>
      <c r="G73" s="116"/>
      <c r="H73" s="116"/>
      <c r="I73" s="116"/>
      <c r="J73" s="116"/>
      <c r="K73" s="116"/>
      <c r="L73" s="116"/>
      <c r="M73" s="117"/>
    </row>
    <row r="74" spans="2:13" x14ac:dyDescent="0.25">
      <c r="B74" s="115"/>
      <c r="C74" s="116"/>
      <c r="D74" s="116"/>
      <c r="E74" s="116"/>
      <c r="F74" s="116"/>
      <c r="G74" s="116"/>
      <c r="H74" s="116"/>
      <c r="I74" s="116"/>
      <c r="J74" s="116"/>
      <c r="K74" s="116"/>
      <c r="L74" s="116"/>
      <c r="M74" s="117"/>
    </row>
    <row r="75" spans="2:13" x14ac:dyDescent="0.25">
      <c r="B75" s="115"/>
      <c r="C75" s="116"/>
      <c r="D75" s="116"/>
      <c r="E75" s="116"/>
      <c r="F75" s="116"/>
      <c r="G75" s="116"/>
      <c r="H75" s="116"/>
      <c r="I75" s="116"/>
      <c r="J75" s="116"/>
      <c r="K75" s="116"/>
      <c r="L75" s="116"/>
      <c r="M75" s="117"/>
    </row>
    <row r="76" spans="2:13" x14ac:dyDescent="0.25">
      <c r="B76" s="115"/>
      <c r="C76" s="116"/>
      <c r="D76" s="116"/>
      <c r="E76" s="116"/>
      <c r="F76" s="116"/>
      <c r="G76" s="116"/>
      <c r="H76" s="116"/>
      <c r="I76" s="116"/>
      <c r="J76" s="116"/>
      <c r="K76" s="116"/>
      <c r="L76" s="116"/>
      <c r="M76" s="117"/>
    </row>
    <row r="77" spans="2:13" x14ac:dyDescent="0.25">
      <c r="B77" s="115"/>
      <c r="C77" s="116"/>
      <c r="D77" s="116"/>
      <c r="E77" s="116"/>
      <c r="F77" s="116"/>
      <c r="G77" s="116"/>
      <c r="H77" s="116"/>
      <c r="I77" s="116"/>
      <c r="J77" s="116"/>
      <c r="K77" s="116"/>
      <c r="L77" s="116"/>
      <c r="M77" s="117"/>
    </row>
    <row r="78" spans="2:13" x14ac:dyDescent="0.25">
      <c r="B78" s="115"/>
      <c r="C78" s="116"/>
      <c r="D78" s="116"/>
      <c r="E78" s="116"/>
      <c r="F78" s="116"/>
      <c r="G78" s="116"/>
      <c r="H78" s="116"/>
      <c r="I78" s="116"/>
      <c r="J78" s="116"/>
      <c r="K78" s="116"/>
      <c r="L78" s="116"/>
      <c r="M78" s="117"/>
    </row>
    <row r="79" spans="2:13" x14ac:dyDescent="0.25">
      <c r="B79" s="115"/>
      <c r="C79" s="116"/>
      <c r="D79" s="116"/>
      <c r="E79" s="116"/>
      <c r="F79" s="116"/>
      <c r="G79" s="116"/>
      <c r="H79" s="116"/>
      <c r="I79" s="116"/>
      <c r="J79" s="116"/>
      <c r="K79" s="116"/>
      <c r="L79" s="116"/>
      <c r="M79" s="117"/>
    </row>
    <row r="80" spans="2:13" x14ac:dyDescent="0.25">
      <c r="B80" s="115"/>
      <c r="C80" s="116"/>
      <c r="D80" s="116"/>
      <c r="E80" s="116"/>
      <c r="F80" s="116"/>
      <c r="G80" s="116"/>
      <c r="H80" s="116"/>
      <c r="I80" s="116"/>
      <c r="J80" s="116"/>
      <c r="K80" s="116"/>
      <c r="L80" s="116"/>
      <c r="M80" s="117"/>
    </row>
    <row r="81" spans="2:13" x14ac:dyDescent="0.25">
      <c r="B81" s="115"/>
      <c r="C81" s="116"/>
      <c r="D81" s="116"/>
      <c r="E81" s="116"/>
      <c r="F81" s="116"/>
      <c r="G81" s="116"/>
      <c r="H81" s="116"/>
      <c r="I81" s="116"/>
      <c r="J81" s="116"/>
      <c r="K81" s="116"/>
      <c r="L81" s="116"/>
      <c r="M81" s="117"/>
    </row>
    <row r="82" spans="2:13" x14ac:dyDescent="0.25">
      <c r="B82" s="115"/>
      <c r="C82" s="116"/>
      <c r="D82" s="116"/>
      <c r="E82" s="116"/>
      <c r="F82" s="116"/>
      <c r="G82" s="116"/>
      <c r="H82" s="116"/>
      <c r="I82" s="116"/>
      <c r="J82" s="116"/>
      <c r="K82" s="116"/>
      <c r="L82" s="116"/>
      <c r="M82" s="117"/>
    </row>
    <row r="83" spans="2:13" x14ac:dyDescent="0.25">
      <c r="B83" s="115"/>
      <c r="C83" s="116"/>
      <c r="D83" s="116"/>
      <c r="E83" s="116"/>
      <c r="F83" s="116"/>
      <c r="G83" s="116"/>
      <c r="H83" s="116"/>
      <c r="I83" s="116"/>
      <c r="J83" s="116"/>
      <c r="K83" s="116"/>
      <c r="L83" s="116"/>
      <c r="M83" s="117"/>
    </row>
    <row r="84" spans="2:13" x14ac:dyDescent="0.25">
      <c r="B84" s="115"/>
      <c r="C84" s="116"/>
      <c r="D84" s="116"/>
      <c r="E84" s="116"/>
      <c r="F84" s="116"/>
      <c r="G84" s="116"/>
      <c r="H84" s="116"/>
      <c r="I84" s="116"/>
      <c r="J84" s="116"/>
      <c r="K84" s="116"/>
      <c r="L84" s="116"/>
      <c r="M84" s="117"/>
    </row>
    <row r="85" spans="2:13" x14ac:dyDescent="0.25">
      <c r="B85" s="115"/>
      <c r="C85" s="116"/>
      <c r="D85" s="116"/>
      <c r="E85" s="116"/>
      <c r="F85" s="116"/>
      <c r="G85" s="116"/>
      <c r="H85" s="116"/>
      <c r="I85" s="116"/>
      <c r="J85" s="116"/>
      <c r="K85" s="116"/>
      <c r="L85" s="116"/>
      <c r="M85" s="117"/>
    </row>
    <row r="86" spans="2:13" x14ac:dyDescent="0.25">
      <c r="B86" s="115"/>
      <c r="C86" s="116"/>
      <c r="D86" s="116"/>
      <c r="E86" s="116"/>
      <c r="F86" s="116"/>
      <c r="G86" s="116"/>
      <c r="H86" s="116"/>
      <c r="I86" s="116"/>
      <c r="J86" s="116"/>
      <c r="K86" s="116"/>
      <c r="L86" s="116"/>
      <c r="M86" s="117"/>
    </row>
    <row r="87" spans="2:13" ht="15.75" thickBot="1" x14ac:dyDescent="0.3">
      <c r="B87" s="118"/>
      <c r="C87" s="119"/>
      <c r="D87" s="119"/>
      <c r="E87" s="119"/>
      <c r="F87" s="119"/>
      <c r="G87" s="119"/>
      <c r="H87" s="119"/>
      <c r="I87" s="119"/>
      <c r="J87" s="119"/>
      <c r="K87" s="119"/>
      <c r="L87" s="119"/>
      <c r="M87" s="120"/>
    </row>
  </sheetData>
  <pageMargins left="0.7" right="0.7" top="0.75" bottom="0.75" header="0.3" footer="0.3"/>
  <pageSetup scale="9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zoomScale="90" zoomScaleNormal="90" workbookViewId="0">
      <selection activeCell="H2" sqref="H2"/>
    </sheetView>
  </sheetViews>
  <sheetFormatPr defaultRowHeight="15" x14ac:dyDescent="0.25"/>
  <cols>
    <col min="1" max="1" width="12.85546875" bestFit="1" customWidth="1"/>
    <col min="2" max="2" width="17.140625" bestFit="1" customWidth="1"/>
    <col min="3" max="3" width="9.28515625" bestFit="1" customWidth="1"/>
    <col min="4" max="4" width="6.140625" bestFit="1" customWidth="1"/>
    <col min="5" max="5" width="9.140625" bestFit="1" customWidth="1"/>
    <col min="6" max="6" width="7.42578125" bestFit="1" customWidth="1"/>
    <col min="7" max="7" width="14.85546875" customWidth="1"/>
    <col min="8" max="8" width="18.42578125" customWidth="1"/>
    <col min="9" max="10" width="17.85546875" customWidth="1"/>
    <col min="11" max="11" width="15" bestFit="1" customWidth="1"/>
    <col min="12" max="13" width="18.42578125" bestFit="1" customWidth="1"/>
  </cols>
  <sheetData>
    <row r="1" spans="1:5" x14ac:dyDescent="0.25">
      <c r="A1" s="109" t="s">
        <v>127</v>
      </c>
      <c r="B1" s="125" t="s">
        <v>136</v>
      </c>
    </row>
    <row r="2" spans="1:5" x14ac:dyDescent="0.25">
      <c r="A2" s="109" t="s">
        <v>11</v>
      </c>
      <c r="B2" s="125" t="s">
        <v>53</v>
      </c>
    </row>
    <row r="4" spans="1:5" x14ac:dyDescent="0.25">
      <c r="A4" s="109" t="s">
        <v>133</v>
      </c>
      <c r="B4" s="125" t="s">
        <v>141</v>
      </c>
      <c r="C4" s="125" t="s">
        <v>139</v>
      </c>
      <c r="D4" s="125" t="s">
        <v>140</v>
      </c>
      <c r="E4" s="125" t="s">
        <v>138</v>
      </c>
    </row>
    <row r="5" spans="1:5" x14ac:dyDescent="0.25">
      <c r="A5" s="110" t="s">
        <v>52</v>
      </c>
      <c r="B5" s="121">
        <v>109.5</v>
      </c>
      <c r="C5" s="111">
        <v>225</v>
      </c>
      <c r="D5" s="121">
        <v>93.5</v>
      </c>
      <c r="E5" s="111">
        <v>129</v>
      </c>
    </row>
    <row r="6" spans="1:5" x14ac:dyDescent="0.25">
      <c r="A6" s="110" t="s">
        <v>45</v>
      </c>
      <c r="B6" s="121">
        <v>85</v>
      </c>
      <c r="C6" s="111">
        <v>78</v>
      </c>
      <c r="D6" s="121">
        <v>79</v>
      </c>
      <c r="E6" s="111">
        <v>42</v>
      </c>
    </row>
    <row r="7" spans="1:5" x14ac:dyDescent="0.25">
      <c r="A7" s="110" t="s">
        <v>48</v>
      </c>
      <c r="B7" s="121">
        <v>99.333333333333329</v>
      </c>
      <c r="C7" s="111">
        <v>164</v>
      </c>
      <c r="D7" s="121">
        <v>83.333333333333329</v>
      </c>
      <c r="E7" s="111">
        <v>68</v>
      </c>
    </row>
    <row r="8" spans="1:5" x14ac:dyDescent="0.25">
      <c r="A8" s="110" t="s">
        <v>49</v>
      </c>
      <c r="B8" s="121">
        <v>83.833333333333329</v>
      </c>
      <c r="C8" s="111">
        <v>71</v>
      </c>
      <c r="D8" s="121">
        <v>80.833333333333329</v>
      </c>
      <c r="E8" s="111">
        <v>53</v>
      </c>
    </row>
    <row r="9" spans="1:5" x14ac:dyDescent="0.25">
      <c r="A9" s="110" t="s">
        <v>134</v>
      </c>
      <c r="B9" s="121">
        <v>94.416666666666671</v>
      </c>
      <c r="C9" s="111">
        <v>538</v>
      </c>
      <c r="D9" s="121">
        <v>84.166666666666671</v>
      </c>
      <c r="E9" s="111">
        <v>292</v>
      </c>
    </row>
  </sheetData>
  <pageMargins left="0.7" right="0.7" top="0.75" bottom="0.75" header="0.3" footer="0.3"/>
  <pageSetup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7"/>
  <sheetViews>
    <sheetView topLeftCell="A2" zoomScale="80" zoomScaleNormal="80" workbookViewId="0">
      <selection activeCell="D7" sqref="D7"/>
    </sheetView>
  </sheetViews>
  <sheetFormatPr defaultColWidth="8.7109375" defaultRowHeight="12" x14ac:dyDescent="0.2"/>
  <cols>
    <col min="1" max="1" width="21.85546875" style="22" customWidth="1"/>
    <col min="2" max="2" width="9" style="23" bestFit="1" customWidth="1"/>
    <col min="3" max="3" width="5.85546875" style="23" customWidth="1"/>
    <col min="4" max="4" width="5.85546875" style="23" bestFit="1" customWidth="1"/>
    <col min="5" max="5" width="7.140625" style="23" customWidth="1"/>
    <col min="6" max="6" width="8.5703125" style="23" customWidth="1"/>
    <col min="7" max="7" width="7.140625" style="23" customWidth="1"/>
    <col min="8" max="8" width="9.140625" style="22" bestFit="1" customWidth="1"/>
    <col min="9" max="16384" width="8.7109375" style="22"/>
  </cols>
  <sheetData>
    <row r="1" spans="1:9" x14ac:dyDescent="0.2">
      <c r="A1" s="106" t="s">
        <v>1</v>
      </c>
      <c r="B1" s="106" t="s">
        <v>11</v>
      </c>
      <c r="C1" s="106" t="s">
        <v>46</v>
      </c>
      <c r="D1" s="106" t="s">
        <v>127</v>
      </c>
      <c r="E1" s="106" t="s">
        <v>34</v>
      </c>
      <c r="F1" s="106" t="s">
        <v>129</v>
      </c>
      <c r="G1" s="106" t="s">
        <v>7</v>
      </c>
      <c r="H1" s="106" t="s">
        <v>128</v>
      </c>
      <c r="I1" s="108" t="s">
        <v>132</v>
      </c>
    </row>
    <row r="2" spans="1:9" ht="12.75" x14ac:dyDescent="0.2">
      <c r="A2" s="87" t="s">
        <v>15</v>
      </c>
      <c r="B2" s="23" t="str">
        <f>VLOOKUP(A2,Table6[[#All],[Player]:[Team]],2,0)</f>
        <v>Eric</v>
      </c>
      <c r="C2" s="23">
        <f>VLOOKUP(Table1[[#This Row],[Player]],'Player Info'!A:C,3,0)</f>
        <v>15</v>
      </c>
      <c r="D2" s="23">
        <v>1</v>
      </c>
      <c r="E2" s="23">
        <f>VLOOKUP(Table1[[#This Row],[Player]],Table5[[Hole]:[Gross]],22,0)</f>
        <v>113</v>
      </c>
      <c r="F2" s="23">
        <f>IF(Table1[[#This Row],[Gross]]&gt;0,Table1[[#This Row],[Gross]]-72,0)</f>
        <v>41</v>
      </c>
      <c r="G2" s="23">
        <f>IF(Table1[[#This Row],[Gross]]&gt;0,Table1[[#This Row],[Gross]]-Table1[[#This Row],[Index]],0)</f>
        <v>98</v>
      </c>
      <c r="H2" s="23">
        <f>IF(Table1[[#This Row],[Net]]&gt;0,Table1[[#This Row],[Net]]-72,0)</f>
        <v>26</v>
      </c>
      <c r="I2" s="107">
        <v>0</v>
      </c>
    </row>
    <row r="3" spans="1:9" ht="12.75" x14ac:dyDescent="0.2">
      <c r="A3" s="87" t="s">
        <v>15</v>
      </c>
      <c r="B3" s="23" t="str">
        <f>VLOOKUP(A3,Table6[[#All],[Player]:[Team]],2,0)</f>
        <v>Eric</v>
      </c>
      <c r="C3" s="23">
        <f>VLOOKUP(Table1[[#This Row],[Player]],'Player Info'!A:C,3,0)</f>
        <v>15</v>
      </c>
      <c r="D3" s="23">
        <v>2</v>
      </c>
      <c r="E3" s="23">
        <f>VLOOKUP(Table1[[#This Row],[Player]],Table13[[Hole]:[Gross]],22,0)</f>
        <v>129</v>
      </c>
      <c r="F3" s="23">
        <f>IF(Table1[[#This Row],[Gross]]&gt;0,Table1[[#This Row],[Gross]]-72,0)</f>
        <v>57</v>
      </c>
      <c r="G3" s="23">
        <f>IF(Table1[[#This Row],[Gross]]&gt;0,Table1[[#This Row],[Gross]]-Table1[[#This Row],[Index]],0)</f>
        <v>114</v>
      </c>
      <c r="H3" s="23">
        <f>IF(Table1[[#This Row],[Net]]&gt;0,Table1[[#This Row],[Net]]-72,0)</f>
        <v>42</v>
      </c>
      <c r="I3" s="107">
        <f>VLOOKUP(Table1[[#This Row],[Player]],Table13[[Hole]:[Cup Points]],28,0)</f>
        <v>0</v>
      </c>
    </row>
    <row r="4" spans="1:9" ht="12.75" x14ac:dyDescent="0.2">
      <c r="A4" s="87" t="s">
        <v>15</v>
      </c>
      <c r="B4" s="23" t="str">
        <f>VLOOKUP(A4,Table6[[#All],[Player]:[Team]],2,0)</f>
        <v>Eric</v>
      </c>
      <c r="C4" s="23">
        <f>VLOOKUP(Table1[[#This Row],[Player]],'Player Info'!A:C,3,0)</f>
        <v>15</v>
      </c>
      <c r="D4" s="23">
        <v>3</v>
      </c>
      <c r="E4" s="23">
        <f>VLOOKUP(Table1[[#This Row],[Player]],Table111[[Hole]:[Gross]],22,0)</f>
        <v>119</v>
      </c>
      <c r="F4" s="23">
        <f>IF(Table1[[#This Row],[Gross]]&gt;0,Table1[[#This Row],[Gross]]-72,0)</f>
        <v>47</v>
      </c>
      <c r="G4" s="23">
        <f>IF(Table1[[#This Row],[Gross]]&gt;0,Table1[[#This Row],[Gross]]-Table1[[#This Row],[Index]],0)</f>
        <v>104</v>
      </c>
      <c r="H4" s="23">
        <f>IF(Table1[[#This Row],[Net]]&gt;0,Table1[[#This Row],[Net]]-72,0)</f>
        <v>32</v>
      </c>
      <c r="I4" s="107">
        <f>VLOOKUP(Table1[[#This Row],[Player]],Table111[[Hole]:[Cup Points]],28,0)</f>
        <v>0</v>
      </c>
    </row>
    <row r="5" spans="1:9" ht="12.75" x14ac:dyDescent="0.2">
      <c r="A5" s="87" t="s">
        <v>15</v>
      </c>
      <c r="B5" s="23" t="str">
        <f>VLOOKUP(A5,Table6[[#All],[Player]:[Team]],2,0)</f>
        <v>Eric</v>
      </c>
      <c r="C5" s="23">
        <f>VLOOKUP(Table1[[#This Row],[Player]],'Player Info'!A:C,3,0)</f>
        <v>15</v>
      </c>
      <c r="D5" s="23">
        <v>6</v>
      </c>
      <c r="E5" s="23">
        <f>VLOOKUP(Table1[[#This Row],[Player]],Table1412[[Hole]:[Gross]],22,0)</f>
        <v>121</v>
      </c>
      <c r="F5" s="23">
        <f>IF(Table1[[#This Row],[Gross]]&gt;0,Table1[[#This Row],[Gross]]-72,0)</f>
        <v>49</v>
      </c>
      <c r="G5" s="23">
        <f>IF(Table1[[#This Row],[Gross]]&gt;0,Table1[[#This Row],[Gross]]-Table1[[#This Row],[Index]],0)</f>
        <v>106</v>
      </c>
      <c r="H5" s="23">
        <f>IF(Table1[[#This Row],[Net]]&gt;0,Table1[[#This Row],[Net]]-72,0)</f>
        <v>34</v>
      </c>
      <c r="I5" s="107">
        <f>VLOOKUP(Table1[[#This Row],[Player]],Table1412[[Hole]:[Cup Points]],28,0)</f>
        <v>0</v>
      </c>
    </row>
    <row r="6" spans="1:9" ht="12.75" x14ac:dyDescent="0.2">
      <c r="A6" s="87" t="s">
        <v>15</v>
      </c>
      <c r="B6" s="23" t="str">
        <f>VLOOKUP(A6,Table6[[#All],[Player]:[Team]],2,0)</f>
        <v>Eric</v>
      </c>
      <c r="C6" s="23">
        <f>VLOOKUP(Table1[[#This Row],[Player]],'Player Info'!A:C,3,0)</f>
        <v>15</v>
      </c>
      <c r="D6" s="23">
        <v>7</v>
      </c>
      <c r="E6" s="23">
        <f>VLOOKUP(Table1[[#This Row],[Player]],Table14513[[Hole]:[Gross]],22,0)</f>
        <v>121</v>
      </c>
      <c r="F6" s="23">
        <f>IF(Table1[[#This Row],[Gross]]&gt;0,Table1[[#This Row],[Gross]]-72,0)</f>
        <v>49</v>
      </c>
      <c r="G6" s="23">
        <f>IF(Table1[[#This Row],[Gross]]&gt;0,Table1[[#This Row],[Gross]]-Table1[[#This Row],[Index]],0)</f>
        <v>106</v>
      </c>
      <c r="H6" s="23">
        <f>IF(Table1[[#This Row],[Net]]&gt;0,Table1[[#This Row],[Net]]-72,0)</f>
        <v>34</v>
      </c>
      <c r="I6" s="107">
        <f>VLOOKUP(Table1[[#This Row],[Player]],Table14513[[Hole]:[Cup Points]],28,0)</f>
        <v>0</v>
      </c>
    </row>
    <row r="7" spans="1:9" ht="12.75" x14ac:dyDescent="0.2">
      <c r="A7" s="87" t="s">
        <v>15</v>
      </c>
      <c r="B7" s="23" t="str">
        <f>VLOOKUP(A7,Table6[[#All],[Player]:[Team]],2,0)</f>
        <v>Eric</v>
      </c>
      <c r="C7" s="23">
        <f>VLOOKUP(Table1[[#This Row],[Player]],'Player Info'!A:C,3,0)</f>
        <v>15</v>
      </c>
      <c r="D7" s="23">
        <v>8</v>
      </c>
      <c r="E7" s="23">
        <f>VLOOKUP(Table1[[#This Row],[Player]],Table145814[[Player]:[Gross]],22,0)</f>
        <v>125</v>
      </c>
      <c r="F7" s="23">
        <f>IF(Table1[[#This Row],[Gross]]&gt;0,Table1[[#This Row],[Gross]]-72,0)</f>
        <v>53</v>
      </c>
      <c r="G7" s="23">
        <f>IF(Table1[[#This Row],[Gross]]&gt;0,Table1[[#This Row],[Gross]]-Table1[[#This Row],[Index]],0)</f>
        <v>110</v>
      </c>
      <c r="H7" s="23">
        <f>IF(Table1[[#This Row],[Net]]&gt;0,Table1[[#This Row],[Net]]-72,0)</f>
        <v>38</v>
      </c>
      <c r="I7" s="107">
        <v>0</v>
      </c>
    </row>
    <row r="8" spans="1:9" ht="12.75" x14ac:dyDescent="0.2">
      <c r="A8" s="87" t="s">
        <v>47</v>
      </c>
      <c r="B8" s="23" t="str">
        <f>VLOOKUP(A8,Table6[[#All],[Player]:[Team]],2,0)</f>
        <v>Danny</v>
      </c>
      <c r="C8" s="23">
        <f>VLOOKUP(Table1[[#This Row],[Player]],'Player Info'!A:C,3,0)</f>
        <v>10</v>
      </c>
      <c r="D8" s="23">
        <v>1</v>
      </c>
      <c r="E8" s="23">
        <f>VLOOKUP(Table1[[#This Row],[Player]],Table5[[Hole]:[Gross]],22,0)</f>
        <v>89</v>
      </c>
      <c r="F8" s="23">
        <f>IF(Table1[[#This Row],[Gross]]&gt;0,Table1[[#This Row],[Gross]]-72,0)</f>
        <v>17</v>
      </c>
      <c r="G8" s="23">
        <f>IF(Table1[[#This Row],[Gross]]&gt;0,Table1[[#This Row],[Gross]]-Table1[[#This Row],[Index]],0)</f>
        <v>79</v>
      </c>
      <c r="H8" s="23">
        <f>IF(Table1[[#This Row],[Net]]&gt;0,Table1[[#This Row],[Net]]-72,0)</f>
        <v>7</v>
      </c>
      <c r="I8" s="107">
        <v>0</v>
      </c>
    </row>
    <row r="9" spans="1:9" ht="12.75" x14ac:dyDescent="0.2">
      <c r="A9" s="87" t="s">
        <v>47</v>
      </c>
      <c r="B9" s="23" t="str">
        <f>VLOOKUP(A9,Table6[[#All],[Player]:[Team]],2,0)</f>
        <v>Danny</v>
      </c>
      <c r="C9" s="23">
        <f>VLOOKUP(Table1[[#This Row],[Player]],'Player Info'!A:C,3,0)</f>
        <v>10</v>
      </c>
      <c r="D9" s="23">
        <v>2</v>
      </c>
      <c r="E9" s="23">
        <f>VLOOKUP(Table1[[#This Row],[Player]],Table13[[Hole]:[Gross]],22,0)</f>
        <v>96</v>
      </c>
      <c r="F9" s="23">
        <f>IF(Table1[[#This Row],[Gross]]&gt;0,Table1[[#This Row],[Gross]]-72,0)</f>
        <v>24</v>
      </c>
      <c r="G9" s="23">
        <f>IF(Table1[[#This Row],[Gross]]&gt;0,Table1[[#This Row],[Gross]]-Table1[[#This Row],[Index]],0)</f>
        <v>86</v>
      </c>
      <c r="H9" s="23">
        <f>IF(Table1[[#This Row],[Net]]&gt;0,Table1[[#This Row],[Net]]-72,0)</f>
        <v>14</v>
      </c>
      <c r="I9" s="107">
        <f>VLOOKUP(Table1[[#This Row],[Player]],Table13[[Hole]:[Cup Points]],28,0)</f>
        <v>1</v>
      </c>
    </row>
    <row r="10" spans="1:9" ht="12.75" x14ac:dyDescent="0.2">
      <c r="A10" s="87" t="s">
        <v>47</v>
      </c>
      <c r="B10" s="23" t="str">
        <f>VLOOKUP(A10,Table6[[#All],[Player]:[Team]],2,0)</f>
        <v>Danny</v>
      </c>
      <c r="C10" s="23">
        <f>VLOOKUP(Table1[[#This Row],[Player]],'Player Info'!A:C,3,0)</f>
        <v>10</v>
      </c>
      <c r="D10" s="23">
        <v>3</v>
      </c>
      <c r="E10" s="23">
        <f>VLOOKUP(Table1[[#This Row],[Player]],Table111[[Hole]:[Gross]],22,0)</f>
        <v>91</v>
      </c>
      <c r="F10" s="23">
        <f>IF(Table1[[#This Row],[Gross]]&gt;0,Table1[[#This Row],[Gross]]-72,0)</f>
        <v>19</v>
      </c>
      <c r="G10" s="23">
        <f>IF(Table1[[#This Row],[Gross]]&gt;0,Table1[[#This Row],[Gross]]-Table1[[#This Row],[Index]],0)</f>
        <v>81</v>
      </c>
      <c r="H10" s="23">
        <f>IF(Table1[[#This Row],[Net]]&gt;0,Table1[[#This Row],[Net]]-72,0)</f>
        <v>9</v>
      </c>
      <c r="I10" s="107">
        <f>VLOOKUP(Table1[[#This Row],[Player]],Table111[[Hole]:[Cup Points]],28,0)</f>
        <v>1</v>
      </c>
    </row>
    <row r="11" spans="1:9" ht="12.75" x14ac:dyDescent="0.2">
      <c r="A11" s="87" t="s">
        <v>47</v>
      </c>
      <c r="B11" s="23" t="str">
        <f>VLOOKUP(A11,Table6[[#All],[Player]:[Team]],2,0)</f>
        <v>Danny</v>
      </c>
      <c r="C11" s="23">
        <f>VLOOKUP(Table1[[#This Row],[Player]],'Player Info'!A:C,3,0)</f>
        <v>10</v>
      </c>
      <c r="D11" s="23">
        <v>6</v>
      </c>
      <c r="E11" s="23">
        <f>VLOOKUP(Table1[[#This Row],[Player]],Table1412[[Hole]:[Gross]],22,0)</f>
        <v>90</v>
      </c>
      <c r="F11" s="23">
        <f>IF(Table1[[#This Row],[Gross]]&gt;0,Table1[[#This Row],[Gross]]-72,0)</f>
        <v>18</v>
      </c>
      <c r="G11" s="23">
        <f>IF(Table1[[#This Row],[Gross]]&gt;0,Table1[[#This Row],[Gross]]-Table1[[#This Row],[Index]],0)</f>
        <v>80</v>
      </c>
      <c r="H11" s="23">
        <f>IF(Table1[[#This Row],[Net]]&gt;0,Table1[[#This Row],[Net]]-72,0)</f>
        <v>8</v>
      </c>
      <c r="I11" s="107">
        <f>VLOOKUP(Table1[[#This Row],[Player]],Table1412[[Hole]:[Cup Points]],28,0)</f>
        <v>0</v>
      </c>
    </row>
    <row r="12" spans="1:9" ht="12.75" x14ac:dyDescent="0.2">
      <c r="A12" s="87" t="s">
        <v>47</v>
      </c>
      <c r="B12" s="23" t="str">
        <f>VLOOKUP(A12,Table6[[#All],[Player]:[Team]],2,0)</f>
        <v>Danny</v>
      </c>
      <c r="C12" s="23">
        <f>VLOOKUP(Table1[[#This Row],[Player]],'Player Info'!A:C,3,0)</f>
        <v>10</v>
      </c>
      <c r="D12" s="23">
        <v>7</v>
      </c>
      <c r="E12" s="23">
        <f>VLOOKUP(Table1[[#This Row],[Player]],Table14513[[Hole]:[Gross]],22,0)</f>
        <v>85</v>
      </c>
      <c r="F12" s="23">
        <f>IF(Table1[[#This Row],[Gross]]&gt;0,Table1[[#This Row],[Gross]]-72,0)</f>
        <v>13</v>
      </c>
      <c r="G12" s="23">
        <f>IF(Table1[[#This Row],[Gross]]&gt;0,Table1[[#This Row],[Gross]]-Table1[[#This Row],[Index]],0)</f>
        <v>75</v>
      </c>
      <c r="H12" s="23">
        <f>IF(Table1[[#This Row],[Net]]&gt;0,Table1[[#This Row],[Net]]-72,0)</f>
        <v>3</v>
      </c>
      <c r="I12" s="107">
        <f>VLOOKUP(Table1[[#This Row],[Player]],Table14513[[Hole]:[Cup Points]],28,0)</f>
        <v>1</v>
      </c>
    </row>
    <row r="13" spans="1:9" ht="12.75" x14ac:dyDescent="0.2">
      <c r="A13" s="87" t="s">
        <v>47</v>
      </c>
      <c r="B13" s="23" t="str">
        <f>VLOOKUP(A13,Table6[[#All],[Player]:[Team]],2,0)</f>
        <v>Danny</v>
      </c>
      <c r="C13" s="23">
        <f>VLOOKUP(Table1[[#This Row],[Player]],'Player Info'!A:C,3,0)</f>
        <v>10</v>
      </c>
      <c r="D13" s="23">
        <v>8</v>
      </c>
      <c r="E13" s="23">
        <f>VLOOKUP(Table1[[#This Row],[Player]],Table145814[[Player]:[Gross]],22,0)</f>
        <v>85</v>
      </c>
      <c r="F13" s="23">
        <f>IF(Table1[[#This Row],[Gross]]&gt;0,Table1[[#This Row],[Gross]]-72,0)</f>
        <v>13</v>
      </c>
      <c r="G13" s="23">
        <f>IF(Table1[[#This Row],[Gross]]&gt;0,Table1[[#This Row],[Gross]]-Table1[[#This Row],[Index]],0)</f>
        <v>75</v>
      </c>
      <c r="H13" s="23">
        <f>IF(Table1[[#This Row],[Net]]&gt;0,Table1[[#This Row],[Net]]-72,0)</f>
        <v>3</v>
      </c>
      <c r="I13" s="107">
        <v>0</v>
      </c>
    </row>
    <row r="14" spans="1:9" ht="12.75" x14ac:dyDescent="0.2">
      <c r="A14" s="87" t="s">
        <v>52</v>
      </c>
      <c r="B14" s="23" t="str">
        <f>VLOOKUP(A14,Table6[[#All],[Player]:[Team]],2,0)</f>
        <v>Matt</v>
      </c>
      <c r="C14" s="23">
        <f>VLOOKUP(Table1[[#This Row],[Player]],'Player Info'!A:C,3,0)</f>
        <v>16</v>
      </c>
      <c r="D14" s="23">
        <v>1</v>
      </c>
      <c r="E14" s="23">
        <f>VLOOKUP(Table1[[#This Row],[Player]],Table5[[Hole]:[Gross]],22,0)</f>
        <v>98</v>
      </c>
      <c r="F14" s="23">
        <f>IF(Table1[[#This Row],[Gross]]&gt;0,Table1[[#This Row],[Gross]]-72,0)</f>
        <v>26</v>
      </c>
      <c r="G14" s="23">
        <f>IF(Table1[[#This Row],[Gross]]&gt;0,Table1[[#This Row],[Gross]]-Table1[[#This Row],[Index]],0)</f>
        <v>82</v>
      </c>
      <c r="H14" s="23">
        <f>IF(Table1[[#This Row],[Net]]&gt;0,Table1[[#This Row],[Net]]-72,0)</f>
        <v>10</v>
      </c>
      <c r="I14" s="107">
        <v>0</v>
      </c>
    </row>
    <row r="15" spans="1:9" ht="12.75" x14ac:dyDescent="0.2">
      <c r="A15" s="87" t="s">
        <v>52</v>
      </c>
      <c r="B15" s="23" t="str">
        <f>VLOOKUP(A15,Table6[[#All],[Player]:[Team]],2,0)</f>
        <v>Matt</v>
      </c>
      <c r="C15" s="23">
        <f>VLOOKUP(Table1[[#This Row],[Player]],'Player Info'!A:C,3,0)</f>
        <v>16</v>
      </c>
      <c r="D15" s="23">
        <v>2</v>
      </c>
      <c r="E15" s="23">
        <f>VLOOKUP(Table1[[#This Row],[Player]],Table13[[Hole]:[Gross]],22,0)</f>
        <v>106</v>
      </c>
      <c r="F15" s="23">
        <f>IF(Table1[[#This Row],[Gross]]&gt;0,Table1[[#This Row],[Gross]]-72,0)</f>
        <v>34</v>
      </c>
      <c r="G15" s="23">
        <f>IF(Table1[[#This Row],[Gross]]&gt;0,Table1[[#This Row],[Gross]]-Table1[[#This Row],[Index]],0)</f>
        <v>90</v>
      </c>
      <c r="H15" s="23">
        <f>IF(Table1[[#This Row],[Net]]&gt;0,Table1[[#This Row],[Net]]-72,0)</f>
        <v>18</v>
      </c>
      <c r="I15" s="107">
        <f>VLOOKUP(Table1[[#This Row],[Player]],Table13[[Hole]:[Cup Points]],28,0)</f>
        <v>0</v>
      </c>
    </row>
    <row r="16" spans="1:9" ht="12.75" x14ac:dyDescent="0.2">
      <c r="A16" s="87" t="s">
        <v>52</v>
      </c>
      <c r="B16" s="23" t="str">
        <f>VLOOKUP(A16,Table6[[#All],[Player]:[Team]],2,0)</f>
        <v>Matt</v>
      </c>
      <c r="C16" s="23">
        <f>VLOOKUP(Table1[[#This Row],[Player]],'Player Info'!A:C,3,0)</f>
        <v>16</v>
      </c>
      <c r="D16" s="23">
        <v>3</v>
      </c>
      <c r="E16" s="23">
        <f>VLOOKUP(Table1[[#This Row],[Player]],Table111[[Hole]:[Gross]],22,0)</f>
        <v>98</v>
      </c>
      <c r="F16" s="23">
        <f>IF(Table1[[#This Row],[Gross]]&gt;0,Table1[[#This Row],[Gross]]-72,0)</f>
        <v>26</v>
      </c>
      <c r="G16" s="23">
        <f>IF(Table1[[#This Row],[Gross]]&gt;0,Table1[[#This Row],[Gross]]-Table1[[#This Row],[Index]],0)</f>
        <v>82</v>
      </c>
      <c r="H16" s="23">
        <f>IF(Table1[[#This Row],[Net]]&gt;0,Table1[[#This Row],[Net]]-72,0)</f>
        <v>10</v>
      </c>
      <c r="I16" s="107">
        <f>VLOOKUP(Table1[[#This Row],[Player]],Table111[[Hole]:[Cup Points]],28,0)</f>
        <v>0</v>
      </c>
    </row>
    <row r="17" spans="1:9" ht="12.75" x14ac:dyDescent="0.2">
      <c r="A17" s="87" t="s">
        <v>52</v>
      </c>
      <c r="B17" s="23" t="str">
        <f>VLOOKUP(A17,Table6[[#All],[Player]:[Team]],2,0)</f>
        <v>Matt</v>
      </c>
      <c r="C17" s="23">
        <f>VLOOKUP(Table1[[#This Row],[Player]],'Player Info'!A:C,3,0)</f>
        <v>16</v>
      </c>
      <c r="D17" s="23">
        <v>6</v>
      </c>
      <c r="E17" s="23">
        <f>VLOOKUP(Table1[[#This Row],[Player]],Table1412[[Hole]:[Gross]],22,0)</f>
        <v>94</v>
      </c>
      <c r="F17" s="23">
        <f>IF(Table1[[#This Row],[Gross]]&gt;0,Table1[[#This Row],[Gross]]-72,0)</f>
        <v>22</v>
      </c>
      <c r="G17" s="23">
        <f>IF(Table1[[#This Row],[Gross]]&gt;0,Table1[[#This Row],[Gross]]-Table1[[#This Row],[Index]],0)</f>
        <v>78</v>
      </c>
      <c r="H17" s="23">
        <f>IF(Table1[[#This Row],[Net]]&gt;0,Table1[[#This Row],[Net]]-72,0)</f>
        <v>6</v>
      </c>
      <c r="I17" s="107">
        <f>VLOOKUP(Table1[[#This Row],[Player]],Table1412[[Hole]:[Cup Points]],28,0)</f>
        <v>1</v>
      </c>
    </row>
    <row r="18" spans="1:9" ht="12.75" x14ac:dyDescent="0.2">
      <c r="A18" s="87" t="s">
        <v>52</v>
      </c>
      <c r="B18" s="23" t="str">
        <f>VLOOKUP(A18,Table6[[#All],[Player]:[Team]],2,0)</f>
        <v>Matt</v>
      </c>
      <c r="C18" s="23">
        <f>VLOOKUP(Table1[[#This Row],[Player]],'Player Info'!A:C,3,0)</f>
        <v>16</v>
      </c>
      <c r="D18" s="23">
        <v>7</v>
      </c>
      <c r="E18" s="23">
        <f>VLOOKUP(Table1[[#This Row],[Player]],Table14513[[Hole]:[Gross]],22,0)</f>
        <v>100</v>
      </c>
      <c r="F18" s="23">
        <f>IF(Table1[[#This Row],[Gross]]&gt;0,Table1[[#This Row],[Gross]]-72,0)</f>
        <v>28</v>
      </c>
      <c r="G18" s="23">
        <f>IF(Table1[[#This Row],[Gross]]&gt;0,Table1[[#This Row],[Gross]]-Table1[[#This Row],[Index]],0)</f>
        <v>84</v>
      </c>
      <c r="H18" s="23">
        <f>IF(Table1[[#This Row],[Net]]&gt;0,Table1[[#This Row],[Net]]-72,0)</f>
        <v>12</v>
      </c>
      <c r="I18" s="107">
        <f>VLOOKUP(Table1[[#This Row],[Player]],Table14513[[Hole]:[Cup Points]],28,0)</f>
        <v>1</v>
      </c>
    </row>
    <row r="19" spans="1:9" ht="12.75" x14ac:dyDescent="0.2">
      <c r="A19" s="87" t="s">
        <v>52</v>
      </c>
      <c r="B19" s="23" t="str">
        <f>VLOOKUP(A19,Table6[[#All],[Player]:[Team]],2,0)</f>
        <v>Matt</v>
      </c>
      <c r="C19" s="23">
        <f>VLOOKUP(Table1[[#This Row],[Player]],'Player Info'!A:C,3,0)</f>
        <v>16</v>
      </c>
      <c r="D19" s="23">
        <v>8</v>
      </c>
      <c r="E19" s="23">
        <f>VLOOKUP(Table1[[#This Row],[Player]],Table145814[[Player]:[Gross]],22,0)</f>
        <v>161</v>
      </c>
      <c r="F19" s="23">
        <f>IF(Table1[[#This Row],[Gross]]&gt;0,Table1[[#This Row],[Gross]]-72,0)</f>
        <v>89</v>
      </c>
      <c r="G19" s="23">
        <f>IF(Table1[[#This Row],[Gross]]&gt;0,Table1[[#This Row],[Gross]]-Table1[[#This Row],[Index]],0)</f>
        <v>145</v>
      </c>
      <c r="H19" s="23">
        <f>IF(Table1[[#This Row],[Net]]&gt;0,Table1[[#This Row],[Net]]-72,0)</f>
        <v>73</v>
      </c>
      <c r="I19" s="107">
        <v>0</v>
      </c>
    </row>
    <row r="20" spans="1:9" ht="12.75" x14ac:dyDescent="0.2">
      <c r="A20" s="87" t="s">
        <v>36</v>
      </c>
      <c r="B20" s="23" t="str">
        <f>VLOOKUP(A20,Table6[[#All],[Player]:[Team]],2,0)</f>
        <v>Danny</v>
      </c>
      <c r="C20" s="23">
        <f>VLOOKUP(Table1[[#This Row],[Player]],'Player Info'!A:C,3,0)</f>
        <v>6</v>
      </c>
      <c r="D20" s="23">
        <v>1</v>
      </c>
      <c r="E20" s="23">
        <f>VLOOKUP(Table1[[#This Row],[Player]],Table5[[Hole]:[Gross]],22,0)</f>
        <v>93</v>
      </c>
      <c r="F20" s="23">
        <f>IF(Table1[[#This Row],[Gross]]&gt;0,Table1[[#This Row],[Gross]]-72,0)</f>
        <v>21</v>
      </c>
      <c r="G20" s="23">
        <f>IF(Table1[[#This Row],[Gross]]&gt;0,Table1[[#This Row],[Gross]]-Table1[[#This Row],[Index]],0)</f>
        <v>87</v>
      </c>
      <c r="H20" s="23">
        <f>IF(Table1[[#This Row],[Net]]&gt;0,Table1[[#This Row],[Net]]-72,0)</f>
        <v>15</v>
      </c>
      <c r="I20" s="107">
        <v>0</v>
      </c>
    </row>
    <row r="21" spans="1:9" ht="12.75" x14ac:dyDescent="0.2">
      <c r="A21" s="87" t="s">
        <v>36</v>
      </c>
      <c r="B21" s="23" t="str">
        <f>VLOOKUP(A21,Table6[[#All],[Player]:[Team]],2,0)</f>
        <v>Danny</v>
      </c>
      <c r="C21" s="23">
        <f>VLOOKUP(Table1[[#This Row],[Player]],'Player Info'!A:C,3,0)</f>
        <v>6</v>
      </c>
      <c r="D21" s="23">
        <v>2</v>
      </c>
      <c r="E21" s="23">
        <f>VLOOKUP(Table1[[#This Row],[Player]],Table13[[Hole]:[Gross]],22,0)</f>
        <v>94</v>
      </c>
      <c r="F21" s="23">
        <f>IF(Table1[[#This Row],[Gross]]&gt;0,Table1[[#This Row],[Gross]]-72,0)</f>
        <v>22</v>
      </c>
      <c r="G21" s="23">
        <f>IF(Table1[[#This Row],[Gross]]&gt;0,Table1[[#This Row],[Gross]]-Table1[[#This Row],[Index]],0)</f>
        <v>88</v>
      </c>
      <c r="H21" s="23">
        <f>IF(Table1[[#This Row],[Net]]&gt;0,Table1[[#This Row],[Net]]-72,0)</f>
        <v>16</v>
      </c>
      <c r="I21" s="107">
        <f>VLOOKUP(Table1[[#This Row],[Player]],Table13[[Hole]:[Cup Points]],28,0)</f>
        <v>0</v>
      </c>
    </row>
    <row r="22" spans="1:9" ht="12.75" x14ac:dyDescent="0.2">
      <c r="A22" s="87" t="s">
        <v>36</v>
      </c>
      <c r="B22" s="23" t="str">
        <f>VLOOKUP(A22,Table6[[#All],[Player]:[Team]],2,0)</f>
        <v>Danny</v>
      </c>
      <c r="C22" s="23">
        <f>VLOOKUP(Table1[[#This Row],[Player]],'Player Info'!A:C,3,0)</f>
        <v>6</v>
      </c>
      <c r="D22" s="23">
        <v>3</v>
      </c>
      <c r="E22" s="23">
        <f>VLOOKUP(Table1[[#This Row],[Player]],Table111[[Hole]:[Gross]],22,0)</f>
        <v>90</v>
      </c>
      <c r="F22" s="23">
        <f>IF(Table1[[#This Row],[Gross]]&gt;0,Table1[[#This Row],[Gross]]-72,0)</f>
        <v>18</v>
      </c>
      <c r="G22" s="23">
        <f>IF(Table1[[#This Row],[Gross]]&gt;0,Table1[[#This Row],[Gross]]-Table1[[#This Row],[Index]],0)</f>
        <v>84</v>
      </c>
      <c r="H22" s="23">
        <f>IF(Table1[[#This Row],[Net]]&gt;0,Table1[[#This Row],[Net]]-72,0)</f>
        <v>12</v>
      </c>
      <c r="I22" s="107">
        <f>VLOOKUP(Table1[[#This Row],[Player]],Table111[[Hole]:[Cup Points]],28,0)</f>
        <v>1</v>
      </c>
    </row>
    <row r="23" spans="1:9" ht="12.75" x14ac:dyDescent="0.2">
      <c r="A23" s="87" t="s">
        <v>36</v>
      </c>
      <c r="B23" s="23" t="str">
        <f>VLOOKUP(A23,Table6[[#All],[Player]:[Team]],2,0)</f>
        <v>Danny</v>
      </c>
      <c r="C23" s="23">
        <f>VLOOKUP(Table1[[#This Row],[Player]],'Player Info'!A:C,3,0)</f>
        <v>6</v>
      </c>
      <c r="D23" s="23">
        <v>6</v>
      </c>
      <c r="E23" s="23">
        <f>VLOOKUP(Table1[[#This Row],[Player]],Table1412[[Hole]:[Gross]],22,0)</f>
        <v>88</v>
      </c>
      <c r="F23" s="23">
        <f>IF(Table1[[#This Row],[Gross]]&gt;0,Table1[[#This Row],[Gross]]-72,0)</f>
        <v>16</v>
      </c>
      <c r="G23" s="23">
        <f>IF(Table1[[#This Row],[Gross]]&gt;0,Table1[[#This Row],[Gross]]-Table1[[#This Row],[Index]],0)</f>
        <v>82</v>
      </c>
      <c r="H23" s="23">
        <f>IF(Table1[[#This Row],[Net]]&gt;0,Table1[[#This Row],[Net]]-72,0)</f>
        <v>10</v>
      </c>
      <c r="I23" s="107">
        <f>VLOOKUP(Table1[[#This Row],[Player]],Table1412[[Hole]:[Cup Points]],28,0)</f>
        <v>0</v>
      </c>
    </row>
    <row r="24" spans="1:9" ht="12.75" x14ac:dyDescent="0.2">
      <c r="A24" s="87" t="s">
        <v>36</v>
      </c>
      <c r="B24" s="23" t="str">
        <f>VLOOKUP(A24,Table6[[#All],[Player]:[Team]],2,0)</f>
        <v>Danny</v>
      </c>
      <c r="C24" s="23">
        <f>VLOOKUP(Table1[[#This Row],[Player]],'Player Info'!A:C,3,0)</f>
        <v>6</v>
      </c>
      <c r="D24" s="23">
        <v>7</v>
      </c>
      <c r="E24" s="23">
        <f>VLOOKUP(Table1[[#This Row],[Player]],Table14513[[Hole]:[Gross]],22,0)</f>
        <v>95</v>
      </c>
      <c r="F24" s="23">
        <f>IF(Table1[[#This Row],[Gross]]&gt;0,Table1[[#This Row],[Gross]]-72,0)</f>
        <v>23</v>
      </c>
      <c r="G24" s="23">
        <f>IF(Table1[[#This Row],[Gross]]&gt;0,Table1[[#This Row],[Gross]]-Table1[[#This Row],[Index]],0)</f>
        <v>89</v>
      </c>
      <c r="H24" s="23">
        <f>IF(Table1[[#This Row],[Net]]&gt;0,Table1[[#This Row],[Net]]-72,0)</f>
        <v>17</v>
      </c>
      <c r="I24" s="107">
        <f>VLOOKUP(Table1[[#This Row],[Player]],Table14513[[Hole]:[Cup Points]],28,0)</f>
        <v>0</v>
      </c>
    </row>
    <row r="25" spans="1:9" ht="12.75" x14ac:dyDescent="0.2">
      <c r="A25" s="87" t="s">
        <v>36</v>
      </c>
      <c r="B25" s="23" t="str">
        <f>VLOOKUP(A25,Table6[[#All],[Player]:[Team]],2,0)</f>
        <v>Danny</v>
      </c>
      <c r="C25" s="23">
        <f>VLOOKUP(Table1[[#This Row],[Player]],'Player Info'!A:C,3,0)</f>
        <v>6</v>
      </c>
      <c r="D25" s="23">
        <v>8</v>
      </c>
      <c r="E25" s="23">
        <f>VLOOKUP(Table1[[#This Row],[Player]],Table145814[[Player]:[Gross]],22,0)</f>
        <v>87</v>
      </c>
      <c r="F25" s="23">
        <f>IF(Table1[[#This Row],[Gross]]&gt;0,Table1[[#This Row],[Gross]]-72,0)</f>
        <v>15</v>
      </c>
      <c r="G25" s="23">
        <f>IF(Table1[[#This Row],[Gross]]&gt;0,Table1[[#This Row],[Gross]]-Table1[[#This Row],[Index]],0)</f>
        <v>81</v>
      </c>
      <c r="H25" s="23">
        <f>IF(Table1[[#This Row],[Net]]&gt;0,Table1[[#This Row],[Net]]-72,0)</f>
        <v>9</v>
      </c>
      <c r="I25" s="107">
        <v>0</v>
      </c>
    </row>
    <row r="26" spans="1:9" ht="12.75" x14ac:dyDescent="0.2">
      <c r="A26" s="87" t="s">
        <v>14</v>
      </c>
      <c r="B26" s="23" t="str">
        <f>VLOOKUP(A26,Table6[[#All],[Player]:[Team]],2,0)</f>
        <v>Eric</v>
      </c>
      <c r="C26" s="23">
        <f>VLOOKUP(Table1[[#This Row],[Player]],'Player Info'!A:C,3,0)</f>
        <v>6</v>
      </c>
      <c r="D26" s="23">
        <v>1</v>
      </c>
      <c r="E26" s="23">
        <f>VLOOKUP(Table1[[#This Row],[Player]],Table5[[Hole]:[Gross]],22,0)</f>
        <v>85</v>
      </c>
      <c r="F26" s="23">
        <f>IF(Table1[[#This Row],[Gross]]&gt;0,Table1[[#This Row],[Gross]]-72,0)</f>
        <v>13</v>
      </c>
      <c r="G26" s="23">
        <f>IF(Table1[[#This Row],[Gross]]&gt;0,Table1[[#This Row],[Gross]]-Table1[[#This Row],[Index]],0)</f>
        <v>79</v>
      </c>
      <c r="H26" s="23">
        <f>IF(Table1[[#This Row],[Net]]&gt;0,Table1[[#This Row],[Net]]-72,0)</f>
        <v>7</v>
      </c>
      <c r="I26" s="107">
        <v>0</v>
      </c>
    </row>
    <row r="27" spans="1:9" ht="12.75" x14ac:dyDescent="0.2">
      <c r="A27" s="87" t="s">
        <v>14</v>
      </c>
      <c r="B27" s="23" t="str">
        <f>VLOOKUP(A27,Table6[[#All],[Player]:[Team]],2,0)</f>
        <v>Eric</v>
      </c>
      <c r="C27" s="23">
        <f>VLOOKUP(Table1[[#This Row],[Player]],'Player Info'!A:C,3,0)</f>
        <v>6</v>
      </c>
      <c r="D27" s="23">
        <v>2</v>
      </c>
      <c r="E27" s="23">
        <f>VLOOKUP(Table1[[#This Row],[Player]],Table13[[Hole]:[Gross]],22,0)</f>
        <v>99</v>
      </c>
      <c r="F27" s="23">
        <f>IF(Table1[[#This Row],[Gross]]&gt;0,Table1[[#This Row],[Gross]]-72,0)</f>
        <v>27</v>
      </c>
      <c r="G27" s="23">
        <f>IF(Table1[[#This Row],[Gross]]&gt;0,Table1[[#This Row],[Gross]]-Table1[[#This Row],[Index]],0)</f>
        <v>93</v>
      </c>
      <c r="H27" s="23">
        <f>IF(Table1[[#This Row],[Net]]&gt;0,Table1[[#This Row],[Net]]-72,0)</f>
        <v>21</v>
      </c>
      <c r="I27" s="107">
        <f>VLOOKUP(Table1[[#This Row],[Player]],Table13[[Hole]:[Cup Points]],28,0)</f>
        <v>0</v>
      </c>
    </row>
    <row r="28" spans="1:9" ht="12.75" x14ac:dyDescent="0.2">
      <c r="A28" s="87" t="s">
        <v>14</v>
      </c>
      <c r="B28" s="23" t="str">
        <f>VLOOKUP(A28,Table6[[#All],[Player]:[Team]],2,0)</f>
        <v>Eric</v>
      </c>
      <c r="C28" s="23">
        <f>VLOOKUP(Table1[[#This Row],[Player]],'Player Info'!A:C,3,0)</f>
        <v>6</v>
      </c>
      <c r="D28" s="23">
        <v>3</v>
      </c>
      <c r="E28" s="23">
        <f>VLOOKUP(Table1[[#This Row],[Player]],Table111[[Hole]:[Gross]],22,0)</f>
        <v>91</v>
      </c>
      <c r="F28" s="23">
        <f>IF(Table1[[#This Row],[Gross]]&gt;0,Table1[[#This Row],[Gross]]-72,0)</f>
        <v>19</v>
      </c>
      <c r="G28" s="23">
        <f>IF(Table1[[#This Row],[Gross]]&gt;0,Table1[[#This Row],[Gross]]-Table1[[#This Row],[Index]],0)</f>
        <v>85</v>
      </c>
      <c r="H28" s="23">
        <f>IF(Table1[[#This Row],[Net]]&gt;0,Table1[[#This Row],[Net]]-72,0)</f>
        <v>13</v>
      </c>
      <c r="I28" s="107">
        <f>VLOOKUP(Table1[[#This Row],[Player]],Table111[[Hole]:[Cup Points]],28,0)</f>
        <v>0</v>
      </c>
    </row>
    <row r="29" spans="1:9" ht="12.75" x14ac:dyDescent="0.2">
      <c r="A29" s="87" t="s">
        <v>14</v>
      </c>
      <c r="B29" s="23" t="str">
        <f>VLOOKUP(A29,Table6[[#All],[Player]:[Team]],2,0)</f>
        <v>Eric</v>
      </c>
      <c r="C29" s="23">
        <f>VLOOKUP(Table1[[#This Row],[Player]],'Player Info'!A:C,3,0)</f>
        <v>6</v>
      </c>
      <c r="D29" s="23">
        <v>6</v>
      </c>
      <c r="E29" s="23">
        <f>VLOOKUP(Table1[[#This Row],[Player]],Table1412[[Hole]:[Gross]],22,0)</f>
        <v>90</v>
      </c>
      <c r="F29" s="23">
        <f>IF(Table1[[#This Row],[Gross]]&gt;0,Table1[[#This Row],[Gross]]-72,0)</f>
        <v>18</v>
      </c>
      <c r="G29" s="23">
        <f>IF(Table1[[#This Row],[Gross]]&gt;0,Table1[[#This Row],[Gross]]-Table1[[#This Row],[Index]],0)</f>
        <v>84</v>
      </c>
      <c r="H29" s="23">
        <f>IF(Table1[[#This Row],[Net]]&gt;0,Table1[[#This Row],[Net]]-72,0)</f>
        <v>12</v>
      </c>
      <c r="I29" s="107">
        <f>VLOOKUP(Table1[[#This Row],[Player]],Table1412[[Hole]:[Cup Points]],28,0)</f>
        <v>0</v>
      </c>
    </row>
    <row r="30" spans="1:9" ht="12.75" x14ac:dyDescent="0.2">
      <c r="A30" s="87" t="s">
        <v>14</v>
      </c>
      <c r="B30" s="23" t="str">
        <f>VLOOKUP(A30,Table6[[#All],[Player]:[Team]],2,0)</f>
        <v>Eric</v>
      </c>
      <c r="C30" s="23">
        <f>VLOOKUP(Table1[[#This Row],[Player]],'Player Info'!A:C,3,0)</f>
        <v>6</v>
      </c>
      <c r="D30" s="23">
        <v>7</v>
      </c>
      <c r="E30" s="23">
        <f>VLOOKUP(Table1[[#This Row],[Player]],Table14513[[Hole]:[Gross]],22,0)</f>
        <v>93</v>
      </c>
      <c r="F30" s="23">
        <f>IF(Table1[[#This Row],[Gross]]&gt;0,Table1[[#This Row],[Gross]]-72,0)</f>
        <v>21</v>
      </c>
      <c r="G30" s="23">
        <f>IF(Table1[[#This Row],[Gross]]&gt;0,Table1[[#This Row],[Gross]]-Table1[[#This Row],[Index]],0)</f>
        <v>87</v>
      </c>
      <c r="H30" s="23">
        <f>IF(Table1[[#This Row],[Net]]&gt;0,Table1[[#This Row],[Net]]-72,0)</f>
        <v>15</v>
      </c>
      <c r="I30" s="107">
        <f>VLOOKUP(Table1[[#This Row],[Player]],Table14513[[Hole]:[Cup Points]],28,0)</f>
        <v>1</v>
      </c>
    </row>
    <row r="31" spans="1:9" ht="12.75" x14ac:dyDescent="0.2">
      <c r="A31" s="87" t="s">
        <v>14</v>
      </c>
      <c r="B31" s="23" t="str">
        <f>VLOOKUP(A31,Table6[[#All],[Player]:[Team]],2,0)</f>
        <v>Eric</v>
      </c>
      <c r="C31" s="23">
        <f>VLOOKUP(Table1[[#This Row],[Player]],'Player Info'!A:C,3,0)</f>
        <v>6</v>
      </c>
      <c r="D31" s="23">
        <v>8</v>
      </c>
      <c r="E31" s="23">
        <f>VLOOKUP(Table1[[#This Row],[Player]],Table145814[[Player]:[Gross]],22,0)</f>
        <v>89</v>
      </c>
      <c r="F31" s="23">
        <f>IF(Table1[[#This Row],[Gross]]&gt;0,Table1[[#This Row],[Gross]]-72,0)</f>
        <v>17</v>
      </c>
      <c r="G31" s="23">
        <f>IF(Table1[[#This Row],[Gross]]&gt;0,Table1[[#This Row],[Gross]]-Table1[[#This Row],[Index]],0)</f>
        <v>83</v>
      </c>
      <c r="H31" s="23">
        <f>IF(Table1[[#This Row],[Net]]&gt;0,Table1[[#This Row],[Net]]-72,0)</f>
        <v>11</v>
      </c>
      <c r="I31" s="107">
        <v>0</v>
      </c>
    </row>
    <row r="32" spans="1:9" ht="12.75" x14ac:dyDescent="0.2">
      <c r="A32" s="87" t="s">
        <v>54</v>
      </c>
      <c r="B32" s="23" t="str">
        <f>VLOOKUP(A32,Table6[[#All],[Player]:[Team]],2,0)</f>
        <v>Danny</v>
      </c>
      <c r="C32" s="23">
        <f>VLOOKUP(Table1[[#This Row],[Player]],'Player Info'!A:C,3,0)</f>
        <v>15</v>
      </c>
      <c r="D32" s="23">
        <v>1</v>
      </c>
      <c r="E32" s="23">
        <f>VLOOKUP(Table1[[#This Row],[Player]],Table5[[Hole]:[Gross]],22,0)</f>
        <v>95</v>
      </c>
      <c r="F32" s="23">
        <f>IF(Table1[[#This Row],[Gross]]&gt;0,Table1[[#This Row],[Gross]]-72,0)</f>
        <v>23</v>
      </c>
      <c r="G32" s="23">
        <f>IF(Table1[[#This Row],[Gross]]&gt;0,Table1[[#This Row],[Gross]]-Table1[[#This Row],[Index]],0)</f>
        <v>80</v>
      </c>
      <c r="H32" s="23">
        <f>IF(Table1[[#This Row],[Net]]&gt;0,Table1[[#This Row],[Net]]-72,0)</f>
        <v>8</v>
      </c>
      <c r="I32" s="107">
        <v>0</v>
      </c>
    </row>
    <row r="33" spans="1:9" ht="12.75" x14ac:dyDescent="0.2">
      <c r="A33" s="87" t="s">
        <v>54</v>
      </c>
      <c r="B33" s="23" t="str">
        <f>VLOOKUP(A33,Table6[[#All],[Player]:[Team]],2,0)</f>
        <v>Danny</v>
      </c>
      <c r="C33" s="23">
        <f>VLOOKUP(Table1[[#This Row],[Player]],'Player Info'!A:C,3,0)</f>
        <v>15</v>
      </c>
      <c r="D33" s="23">
        <v>2</v>
      </c>
      <c r="E33" s="23">
        <f>VLOOKUP(Table1[[#This Row],[Player]],Table13[[Hole]:[Gross]],22,0)</f>
        <v>104</v>
      </c>
      <c r="F33" s="23">
        <f>IF(Table1[[#This Row],[Gross]]&gt;0,Table1[[#This Row],[Gross]]-72,0)</f>
        <v>32</v>
      </c>
      <c r="G33" s="23">
        <f>IF(Table1[[#This Row],[Gross]]&gt;0,Table1[[#This Row],[Gross]]-Table1[[#This Row],[Index]],0)</f>
        <v>89</v>
      </c>
      <c r="H33" s="23">
        <f>IF(Table1[[#This Row],[Net]]&gt;0,Table1[[#This Row],[Net]]-72,0)</f>
        <v>17</v>
      </c>
      <c r="I33" s="107">
        <f>VLOOKUP(Table1[[#This Row],[Player]],Table13[[Hole]:[Cup Points]],28,0)</f>
        <v>1</v>
      </c>
    </row>
    <row r="34" spans="1:9" ht="12.75" x14ac:dyDescent="0.2">
      <c r="A34" s="87" t="s">
        <v>54</v>
      </c>
      <c r="B34" s="23" t="str">
        <f>VLOOKUP(A34,Table6[[#All],[Player]:[Team]],2,0)</f>
        <v>Danny</v>
      </c>
      <c r="C34" s="23">
        <f>VLOOKUP(Table1[[#This Row],[Player]],'Player Info'!A:C,3,0)</f>
        <v>15</v>
      </c>
      <c r="D34" s="23">
        <v>3</v>
      </c>
      <c r="E34" s="23">
        <f>VLOOKUP(Table1[[#This Row],[Player]],Table111[[Hole]:[Gross]],22,0)</f>
        <v>115</v>
      </c>
      <c r="F34" s="23">
        <f>IF(Table1[[#This Row],[Gross]]&gt;0,Table1[[#This Row],[Gross]]-72,0)</f>
        <v>43</v>
      </c>
      <c r="G34" s="23">
        <f>IF(Table1[[#This Row],[Gross]]&gt;0,Table1[[#This Row],[Gross]]-Table1[[#This Row],[Index]],0)</f>
        <v>100</v>
      </c>
      <c r="H34" s="23">
        <f>IF(Table1[[#This Row],[Net]]&gt;0,Table1[[#This Row],[Net]]-72,0)</f>
        <v>28</v>
      </c>
      <c r="I34" s="107">
        <f>VLOOKUP(Table1[[#This Row],[Player]],Table111[[Hole]:[Cup Points]],28,0)</f>
        <v>0</v>
      </c>
    </row>
    <row r="35" spans="1:9" ht="12.75" x14ac:dyDescent="0.2">
      <c r="A35" s="87" t="s">
        <v>54</v>
      </c>
      <c r="B35" s="23" t="str">
        <f>VLOOKUP(A35,Table6[[#All],[Player]:[Team]],2,0)</f>
        <v>Danny</v>
      </c>
      <c r="C35" s="23">
        <f>VLOOKUP(Table1[[#This Row],[Player]],'Player Info'!A:C,3,0)</f>
        <v>15</v>
      </c>
      <c r="D35" s="23">
        <v>6</v>
      </c>
      <c r="E35" s="23">
        <f>VLOOKUP(Table1[[#This Row],[Player]],Table1412[[Hole]:[Gross]],22,0)</f>
        <v>91</v>
      </c>
      <c r="F35" s="23">
        <f>IF(Table1[[#This Row],[Gross]]&gt;0,Table1[[#This Row],[Gross]]-72,0)</f>
        <v>19</v>
      </c>
      <c r="G35" s="23">
        <f>IF(Table1[[#This Row],[Gross]]&gt;0,Table1[[#This Row],[Gross]]-Table1[[#This Row],[Index]],0)</f>
        <v>76</v>
      </c>
      <c r="H35" s="23">
        <f>IF(Table1[[#This Row],[Net]]&gt;0,Table1[[#This Row],[Net]]-72,0)</f>
        <v>4</v>
      </c>
      <c r="I35" s="107">
        <f>VLOOKUP(Table1[[#This Row],[Player]],Table1412[[Hole]:[Cup Points]],28,0)</f>
        <v>1</v>
      </c>
    </row>
    <row r="36" spans="1:9" ht="12.75" x14ac:dyDescent="0.2">
      <c r="A36" s="87" t="s">
        <v>54</v>
      </c>
      <c r="B36" s="23" t="str">
        <f>VLOOKUP(A36,Table6[[#All],[Player]:[Team]],2,0)</f>
        <v>Danny</v>
      </c>
      <c r="C36" s="23">
        <f>VLOOKUP(Table1[[#This Row],[Player]],'Player Info'!A:C,3,0)</f>
        <v>15</v>
      </c>
      <c r="D36" s="23">
        <v>7</v>
      </c>
      <c r="E36" s="23">
        <f>VLOOKUP(Table1[[#This Row],[Player]],Table14513[[Hole]:[Gross]],22,0)</f>
        <v>100</v>
      </c>
      <c r="F36" s="23">
        <f>IF(Table1[[#This Row],[Gross]]&gt;0,Table1[[#This Row],[Gross]]-72,0)</f>
        <v>28</v>
      </c>
      <c r="G36" s="23">
        <f>IF(Table1[[#This Row],[Gross]]&gt;0,Table1[[#This Row],[Gross]]-Table1[[#This Row],[Index]],0)</f>
        <v>85</v>
      </c>
      <c r="H36" s="23">
        <f>IF(Table1[[#This Row],[Net]]&gt;0,Table1[[#This Row],[Net]]-72,0)</f>
        <v>13</v>
      </c>
      <c r="I36" s="107">
        <f>VLOOKUP(Table1[[#This Row],[Player]],Table14513[[Hole]:[Cup Points]],28,0)</f>
        <v>1</v>
      </c>
    </row>
    <row r="37" spans="1:9" ht="12.75" x14ac:dyDescent="0.2">
      <c r="A37" s="87" t="s">
        <v>54</v>
      </c>
      <c r="B37" s="23" t="str">
        <f>VLOOKUP(A37,Table6[[#All],[Player]:[Team]],2,0)</f>
        <v>Danny</v>
      </c>
      <c r="C37" s="23">
        <f>VLOOKUP(Table1[[#This Row],[Player]],'Player Info'!A:C,3,0)</f>
        <v>15</v>
      </c>
      <c r="D37" s="23">
        <v>8</v>
      </c>
      <c r="E37" s="23">
        <f>VLOOKUP(Table1[[#This Row],[Player]],Table145814[[Player]:[Gross]],22,0)</f>
        <v>102</v>
      </c>
      <c r="F37" s="23">
        <f>IF(Table1[[#This Row],[Gross]]&gt;0,Table1[[#This Row],[Gross]]-72,0)</f>
        <v>30</v>
      </c>
      <c r="G37" s="23">
        <f>IF(Table1[[#This Row],[Gross]]&gt;0,Table1[[#This Row],[Gross]]-Table1[[#This Row],[Index]],0)</f>
        <v>87</v>
      </c>
      <c r="H37" s="23">
        <f>IF(Table1[[#This Row],[Net]]&gt;0,Table1[[#This Row],[Net]]-72,0)</f>
        <v>15</v>
      </c>
      <c r="I37" s="107">
        <v>0</v>
      </c>
    </row>
    <row r="38" spans="1:9" ht="12.75" hidden="1" x14ac:dyDescent="0.2">
      <c r="A38" s="87" t="s">
        <v>15</v>
      </c>
      <c r="B38" s="23" t="str">
        <f>VLOOKUP(A38,Table6[[#All],[Player]:[Team]],2,0)</f>
        <v>Eric</v>
      </c>
      <c r="C38" s="23">
        <f>VLOOKUP(Table1[[#This Row],[Player]],'Player Info'!A:C,3,0)</f>
        <v>15</v>
      </c>
      <c r="D38" s="23">
        <v>4</v>
      </c>
      <c r="E38" s="23">
        <f>SUM(VLOOKUP(Table1[[#This Row],[Player]],Table1918[[Hole]:[Out]],11,0),VLOOKUP(Table1[[#This Row],[Player]],Table191519[[Hole]:[In]],11,0))</f>
        <v>0</v>
      </c>
      <c r="F38" s="23">
        <f>IF(Table1[[#This Row],[Gross]]&gt;0,Table1[[#This Row],[Gross]]-72,0)</f>
        <v>0</v>
      </c>
      <c r="G38" s="23">
        <f>IF(Table1[[#This Row],[Gross]]&gt;0,Table1[[#This Row],[Gross]]-Table1[[#This Row],[Index]],0)</f>
        <v>0</v>
      </c>
      <c r="H38" s="23">
        <f>IF(Table1[[#This Row],[Net]]&gt;0,Table1[[#This Row],[Net]]-72,0)</f>
        <v>0</v>
      </c>
      <c r="I38" s="107">
        <f>SUM(VLOOKUP(Table1[[#This Row],[Player]],Table1918[[Hole]:[Cup Points]],18,0),VLOOKUP(Table1[[#This Row],[Player]],Table191519[[Hole]:[Cup Points]],18,0))</f>
        <v>0</v>
      </c>
    </row>
    <row r="39" spans="1:9" ht="12.75" hidden="1" x14ac:dyDescent="0.2">
      <c r="A39" s="87" t="s">
        <v>47</v>
      </c>
      <c r="B39" s="23" t="str">
        <f>VLOOKUP(A39,Table6[[#All],[Player]:[Team]],2,0)</f>
        <v>Danny</v>
      </c>
      <c r="C39" s="23">
        <f>VLOOKUP(Table1[[#This Row],[Player]],'Player Info'!A:C,3,0)</f>
        <v>10</v>
      </c>
      <c r="D39" s="23">
        <v>4</v>
      </c>
      <c r="E39" s="23">
        <f>SUM(VLOOKUP(Table1[[#This Row],[Player]],Table1918[[Hole]:[Out]],11,0),VLOOKUP(Table1[[#This Row],[Player]],Table191519[[Hole]:[In]],11,0))</f>
        <v>0</v>
      </c>
      <c r="F39" s="23">
        <f>IF(Table1[[#This Row],[Gross]]&gt;0,Table1[[#This Row],[Gross]]-72,0)</f>
        <v>0</v>
      </c>
      <c r="G39" s="23">
        <f>IF(Table1[[#This Row],[Gross]]&gt;0,Table1[[#This Row],[Gross]]-Table1[[#This Row],[Index]],0)</f>
        <v>0</v>
      </c>
      <c r="H39" s="23">
        <f>IF(Table1[[#This Row],[Net]]&gt;0,Table1[[#This Row],[Net]]-72,0)</f>
        <v>0</v>
      </c>
      <c r="I39" s="107">
        <f>SUM(VLOOKUP(Table1[[#This Row],[Player]],Table1918[[Hole]:[Cup Points]],18,0),VLOOKUP(Table1[[#This Row],[Player]],Table191519[[Hole]:[Cup Points]],18,0))</f>
        <v>1</v>
      </c>
    </row>
    <row r="40" spans="1:9" ht="12.75" hidden="1" x14ac:dyDescent="0.2">
      <c r="A40" s="87" t="s">
        <v>52</v>
      </c>
      <c r="B40" s="23" t="str">
        <f>VLOOKUP(A40,Table6[[#All],[Player]:[Team]],2,0)</f>
        <v>Matt</v>
      </c>
      <c r="C40" s="23">
        <f>VLOOKUP(Table1[[#This Row],[Player]],'Player Info'!A:C,3,0)</f>
        <v>16</v>
      </c>
      <c r="D40" s="23">
        <v>4</v>
      </c>
      <c r="E40" s="23">
        <f>SUM(VLOOKUP(Table1[[#This Row],[Player]],Table1918[[Hole]:[Out]],11,0),VLOOKUP(Table1[[#This Row],[Player]],Table191519[[Hole]:[In]],11,0))</f>
        <v>0</v>
      </c>
      <c r="F40" s="23">
        <f>IF(Table1[[#This Row],[Gross]]&gt;0,Table1[[#This Row],[Gross]]-72,0)</f>
        <v>0</v>
      </c>
      <c r="G40" s="23">
        <f>IF(Table1[[#This Row],[Gross]]&gt;0,Table1[[#This Row],[Gross]]-Table1[[#This Row],[Index]],0)</f>
        <v>0</v>
      </c>
      <c r="H40" s="23">
        <f>IF(Table1[[#This Row],[Net]]&gt;0,Table1[[#This Row],[Net]]-72,0)</f>
        <v>0</v>
      </c>
      <c r="I40" s="107">
        <f>SUM(VLOOKUP(Table1[[#This Row],[Player]],Table1918[[Hole]:[Cup Points]],18,0),VLOOKUP(Table1[[#This Row],[Player]],Table191519[[Hole]:[Cup Points]],18,0))</f>
        <v>0.5</v>
      </c>
    </row>
    <row r="41" spans="1:9" ht="12.75" hidden="1" x14ac:dyDescent="0.2">
      <c r="A41" s="87" t="s">
        <v>36</v>
      </c>
      <c r="B41" s="23" t="str">
        <f>VLOOKUP(A41,Table6[[#All],[Player]:[Team]],2,0)</f>
        <v>Danny</v>
      </c>
      <c r="C41" s="23">
        <f>VLOOKUP(Table1[[#This Row],[Player]],'Player Info'!A:C,3,0)</f>
        <v>6</v>
      </c>
      <c r="D41" s="23">
        <v>4</v>
      </c>
      <c r="E41" s="23">
        <f>SUM(VLOOKUP(Table1[[#This Row],[Player]],Table1918[[Hole]:[Out]],11,0),VLOOKUP(Table1[[#This Row],[Player]],Table191519[[Hole]:[In]],11,0))</f>
        <v>0</v>
      </c>
      <c r="F41" s="23">
        <f>IF(Table1[[#This Row],[Gross]]&gt;0,Table1[[#This Row],[Gross]]-72,0)</f>
        <v>0</v>
      </c>
      <c r="G41" s="23">
        <f>IF(Table1[[#This Row],[Gross]]&gt;0,Table1[[#This Row],[Gross]]-Table1[[#This Row],[Index]],0)</f>
        <v>0</v>
      </c>
      <c r="H41" s="23">
        <f>IF(Table1[[#This Row],[Net]]&gt;0,Table1[[#This Row],[Net]]-72,0)</f>
        <v>0</v>
      </c>
      <c r="I41" s="107">
        <f>SUM(VLOOKUP(Table1[[#This Row],[Player]],Table1918[[Hole]:[Cup Points]],18,0),VLOOKUP(Table1[[#This Row],[Player]],Table191519[[Hole]:[Cup Points]],18,0))</f>
        <v>0</v>
      </c>
    </row>
    <row r="42" spans="1:9" ht="12.75" hidden="1" x14ac:dyDescent="0.2">
      <c r="A42" s="87" t="s">
        <v>14</v>
      </c>
      <c r="B42" s="23" t="str">
        <f>VLOOKUP(A42,Table6[[#All],[Player]:[Team]],2,0)</f>
        <v>Eric</v>
      </c>
      <c r="C42" s="23">
        <f>VLOOKUP(Table1[[#This Row],[Player]],'Player Info'!A:C,3,0)</f>
        <v>6</v>
      </c>
      <c r="D42" s="23">
        <v>4</v>
      </c>
      <c r="E42" s="23">
        <f>SUM(VLOOKUP(Table1[[#This Row],[Player]],Table1918[[Hole]:[Out]],11,0),VLOOKUP(Table1[[#This Row],[Player]],Table191519[[Hole]:[In]],11,0))</f>
        <v>0</v>
      </c>
      <c r="F42" s="23">
        <f>IF(Table1[[#This Row],[Gross]]&gt;0,Table1[[#This Row],[Gross]]-72,0)</f>
        <v>0</v>
      </c>
      <c r="G42" s="23">
        <f>IF(Table1[[#This Row],[Gross]]&gt;0,Table1[[#This Row],[Gross]]-Table1[[#This Row],[Index]],0)</f>
        <v>0</v>
      </c>
      <c r="H42" s="23">
        <f>IF(Table1[[#This Row],[Net]]&gt;0,Table1[[#This Row],[Net]]-72,0)</f>
        <v>0</v>
      </c>
      <c r="I42" s="107">
        <f>SUM(VLOOKUP(Table1[[#This Row],[Player]],Table1918[[Hole]:[Cup Points]],18,0),VLOOKUP(Table1[[#This Row],[Player]],Table191519[[Hole]:[Cup Points]],18,0))</f>
        <v>0</v>
      </c>
    </row>
    <row r="43" spans="1:9" ht="12.75" hidden="1" x14ac:dyDescent="0.2">
      <c r="A43" s="87" t="s">
        <v>54</v>
      </c>
      <c r="B43" s="23" t="str">
        <f>VLOOKUP(A43,Table6[[#All],[Player]:[Team]],2,0)</f>
        <v>Danny</v>
      </c>
      <c r="C43" s="23">
        <f>VLOOKUP(Table1[[#This Row],[Player]],'Player Info'!A:C,3,0)</f>
        <v>15</v>
      </c>
      <c r="D43" s="23">
        <v>4</v>
      </c>
      <c r="E43" s="23">
        <f>SUM(VLOOKUP(Table1[[#This Row],[Player]],Table1918[[Hole]:[Out]],11,0),VLOOKUP(Table1[[#This Row],[Player]],Table191519[[Hole]:[In]],11,0))</f>
        <v>0</v>
      </c>
      <c r="F43" s="23">
        <f>IF(Table1[[#This Row],[Gross]]&gt;0,Table1[[#This Row],[Gross]]-72,0)</f>
        <v>0</v>
      </c>
      <c r="G43" s="23">
        <f>IF(Table1[[#This Row],[Gross]]&gt;0,Table1[[#This Row],[Gross]]-Table1[[#This Row],[Index]],0)</f>
        <v>0</v>
      </c>
      <c r="H43" s="23">
        <f>IF(Table1[[#This Row],[Net]]&gt;0,Table1[[#This Row],[Net]]-72,0)</f>
        <v>0</v>
      </c>
      <c r="I43" s="107">
        <f>SUM(VLOOKUP(Table1[[#This Row],[Player]],Table1918[[Hole]:[Cup Points]],18,0),VLOOKUP(Table1[[#This Row],[Player]],Table191519[[Hole]:[Cup Points]],18,0))</f>
        <v>0</v>
      </c>
    </row>
    <row r="44" spans="1:9" ht="12.75" hidden="1" x14ac:dyDescent="0.2">
      <c r="A44" s="87" t="s">
        <v>37</v>
      </c>
      <c r="B44" s="23" t="str">
        <f>VLOOKUP(A44,Table6[[#All],[Player]:[Team]],2,0)</f>
        <v>Danny</v>
      </c>
      <c r="C44" s="23">
        <f>VLOOKUP(Table1[[#This Row],[Player]],'Player Info'!A:C,3,0)</f>
        <v>9</v>
      </c>
      <c r="D44" s="23">
        <v>4</v>
      </c>
      <c r="E44" s="23">
        <f>SUM(VLOOKUP(Table1[[#This Row],[Player]],Table1918[[Hole]:[Out]],11,0),VLOOKUP(Table1[[#This Row],[Player]],Table191519[[Hole]:[In]],11,0))</f>
        <v>0</v>
      </c>
      <c r="F44" s="23">
        <f>IF(Table1[[#This Row],[Gross]]&gt;0,Table1[[#This Row],[Gross]]-72,0)</f>
        <v>0</v>
      </c>
      <c r="G44" s="23">
        <f>IF(Table1[[#This Row],[Gross]]&gt;0,Table1[[#This Row],[Gross]]-Table1[[#This Row],[Index]],0)</f>
        <v>0</v>
      </c>
      <c r="H44" s="23">
        <f>IF(Table1[[#This Row],[Net]]&gt;0,Table1[[#This Row],[Net]]-72,0)</f>
        <v>0</v>
      </c>
      <c r="I44" s="107">
        <f>SUM(VLOOKUP(Table1[[#This Row],[Player]],Table1918[[Hole]:[Cup Points]],18,0),VLOOKUP(Table1[[#This Row],[Player]],Table191519[[Hole]:[Cup Points]],18,0))</f>
        <v>1</v>
      </c>
    </row>
    <row r="45" spans="1:9" ht="12.75" hidden="1" x14ac:dyDescent="0.2">
      <c r="A45" s="87" t="s">
        <v>50</v>
      </c>
      <c r="B45" s="23" t="str">
        <f>VLOOKUP(A45,Table6[[#All],[Player]:[Team]],2,0)</f>
        <v>Eric</v>
      </c>
      <c r="C45" s="23">
        <f>VLOOKUP(Table1[[#This Row],[Player]],'Player Info'!A:C,3,0)</f>
        <v>10</v>
      </c>
      <c r="D45" s="23">
        <v>4</v>
      </c>
      <c r="E45" s="23">
        <f>SUM(VLOOKUP(Table1[[#This Row],[Player]],Table1918[[Hole]:[Out]],11,0),VLOOKUP(Table1[[#This Row],[Player]],Table191519[[Hole]:[In]],11,0))</f>
        <v>0</v>
      </c>
      <c r="F45" s="23">
        <f>IF(Table1[[#This Row],[Gross]]&gt;0,Table1[[#This Row],[Gross]]-72,0)</f>
        <v>0</v>
      </c>
      <c r="G45" s="23">
        <f>IF(Table1[[#This Row],[Gross]]&gt;0,Table1[[#This Row],[Gross]]-Table1[[#This Row],[Index]],0)</f>
        <v>0</v>
      </c>
      <c r="H45" s="23">
        <f>IF(Table1[[#This Row],[Net]]&gt;0,Table1[[#This Row],[Net]]-72,0)</f>
        <v>0</v>
      </c>
      <c r="I45" s="107">
        <f>SUM(VLOOKUP(Table1[[#This Row],[Player]],Table1918[[Hole]:[Cup Points]],18,0),VLOOKUP(Table1[[#This Row],[Player]],Table191519[[Hole]:[Cup Points]],18,0))</f>
        <v>1.5</v>
      </c>
    </row>
    <row r="46" spans="1:9" ht="12.75" hidden="1" x14ac:dyDescent="0.2">
      <c r="A46" s="87" t="s">
        <v>45</v>
      </c>
      <c r="B46" s="23" t="str">
        <f>VLOOKUP(A46,Table6[[#All],[Player]:[Team]],2,0)</f>
        <v>Matt</v>
      </c>
      <c r="C46" s="23">
        <f>VLOOKUP(Table1[[#This Row],[Player]],'Player Info'!A:C,3,0)</f>
        <v>6</v>
      </c>
      <c r="D46" s="23">
        <v>4</v>
      </c>
      <c r="E46" s="23">
        <f>SUM(VLOOKUP(Table1[[#This Row],[Player]],Table1918[[Hole]:[Out]],11,0),VLOOKUP(Table1[[#This Row],[Player]],Table191519[[Hole]:[In]],11,0))</f>
        <v>0</v>
      </c>
      <c r="F46" s="23">
        <f>IF(Table1[[#This Row],[Gross]]&gt;0,Table1[[#This Row],[Gross]]-72,0)</f>
        <v>0</v>
      </c>
      <c r="G46" s="23">
        <f>IF(Table1[[#This Row],[Gross]]&gt;0,Table1[[#This Row],[Gross]]-Table1[[#This Row],[Index]],0)</f>
        <v>0</v>
      </c>
      <c r="H46" s="23">
        <f>IF(Table1[[#This Row],[Net]]&gt;0,Table1[[#This Row],[Net]]-72,0)</f>
        <v>0</v>
      </c>
      <c r="I46" s="107">
        <f>SUM(VLOOKUP(Table1[[#This Row],[Player]],Table1918[[Hole]:[Cup Points]],18,0),VLOOKUP(Table1[[#This Row],[Player]],Table191519[[Hole]:[Cup Points]],18,0))</f>
        <v>2</v>
      </c>
    </row>
    <row r="47" spans="1:9" ht="12.75" hidden="1" x14ac:dyDescent="0.2">
      <c r="A47" s="87" t="s">
        <v>48</v>
      </c>
      <c r="B47" s="23" t="str">
        <f>VLOOKUP(A47,Table6[[#All],[Player]:[Team]],2,0)</f>
        <v>Matt</v>
      </c>
      <c r="C47" s="23">
        <f>VLOOKUP(Table1[[#This Row],[Player]],'Player Info'!A:C,3,0)</f>
        <v>16</v>
      </c>
      <c r="D47" s="23">
        <v>4</v>
      </c>
      <c r="E47" s="23">
        <f>SUM(VLOOKUP(Table1[[#This Row],[Player]],Table1918[[Hole]:[Out]],11,0),VLOOKUP(Table1[[#This Row],[Player]],Table191519[[Hole]:[In]],11,0))</f>
        <v>0</v>
      </c>
      <c r="F47" s="23">
        <f>IF(Table1[[#This Row],[Gross]]&gt;0,Table1[[#This Row],[Gross]]-72,0)</f>
        <v>0</v>
      </c>
      <c r="G47" s="23">
        <f>IF(Table1[[#This Row],[Gross]]&gt;0,Table1[[#This Row],[Gross]]-Table1[[#This Row],[Index]],0)</f>
        <v>0</v>
      </c>
      <c r="H47" s="23">
        <f>IF(Table1[[#This Row],[Net]]&gt;0,Table1[[#This Row],[Net]]-72,0)</f>
        <v>0</v>
      </c>
      <c r="I47" s="107">
        <f>SUM(VLOOKUP(Table1[[#This Row],[Player]],Table1918[[Hole]:[Cup Points]],18,0),VLOOKUP(Table1[[#This Row],[Player]],Table191519[[Hole]:[Cup Points]],18,0))</f>
        <v>2</v>
      </c>
    </row>
    <row r="48" spans="1:9" ht="12.75" hidden="1" x14ac:dyDescent="0.2">
      <c r="A48" s="87" t="s">
        <v>49</v>
      </c>
      <c r="B48" s="23" t="str">
        <f>VLOOKUP(A48,Table6[[#All],[Player]:[Team]],2,0)</f>
        <v>Matt</v>
      </c>
      <c r="C48" s="23">
        <f>VLOOKUP(Table1[[#This Row],[Player]],'Player Info'!A:C,3,0)</f>
        <v>3</v>
      </c>
      <c r="D48" s="23">
        <v>4</v>
      </c>
      <c r="E48" s="23">
        <f>SUM(VLOOKUP(Table1[[#This Row],[Player]],Table1918[[Hole]:[Out]],11,0),VLOOKUP(Table1[[#This Row],[Player]],Table191519[[Hole]:[In]],11,0))</f>
        <v>0</v>
      </c>
      <c r="F48" s="23">
        <f>IF(Table1[[#This Row],[Gross]]&gt;0,Table1[[#This Row],[Gross]]-72,0)</f>
        <v>0</v>
      </c>
      <c r="G48" s="23">
        <f>IF(Table1[[#This Row],[Gross]]&gt;0,Table1[[#This Row],[Gross]]-Table1[[#This Row],[Index]],0)</f>
        <v>0</v>
      </c>
      <c r="H48" s="23">
        <f>IF(Table1[[#This Row],[Net]]&gt;0,Table1[[#This Row],[Net]]-72,0)</f>
        <v>0</v>
      </c>
      <c r="I48" s="107">
        <f>SUM(VLOOKUP(Table1[[#This Row],[Player]],Table1918[[Hole]:[Cup Points]],18,0),VLOOKUP(Table1[[#This Row],[Player]],Table191519[[Hole]:[Cup Points]],18,0))</f>
        <v>0.5</v>
      </c>
    </row>
    <row r="49" spans="1:9" ht="12.75" hidden="1" x14ac:dyDescent="0.2">
      <c r="A49" s="87" t="s">
        <v>51</v>
      </c>
      <c r="B49" s="23" t="str">
        <f>VLOOKUP(A49,Table6[[#All],[Player]:[Team]],2,0)</f>
        <v>Eric</v>
      </c>
      <c r="C49" s="23">
        <f>VLOOKUP(Table1[[#This Row],[Player]],'Player Info'!A:C,3,0)</f>
        <v>14</v>
      </c>
      <c r="D49" s="23">
        <v>4</v>
      </c>
      <c r="E49" s="23">
        <f>SUM(VLOOKUP(Table1[[#This Row],[Player]],Table1918[[Hole]:[Out]],11,0),VLOOKUP(Table1[[#This Row],[Player]],Table191519[[Hole]:[In]],11,0))</f>
        <v>0</v>
      </c>
      <c r="F49" s="23">
        <f>IF(Table1[[#This Row],[Gross]]&gt;0,Table1[[#This Row],[Gross]]-72,0)</f>
        <v>0</v>
      </c>
      <c r="G49" s="23">
        <f>IF(Table1[[#This Row],[Gross]]&gt;0,Table1[[#This Row],[Gross]]-Table1[[#This Row],[Index]],0)</f>
        <v>0</v>
      </c>
      <c r="H49" s="23">
        <f>IF(Table1[[#This Row],[Net]]&gt;0,Table1[[#This Row],[Net]]-72,0)</f>
        <v>0</v>
      </c>
      <c r="I49" s="107">
        <f>SUM(VLOOKUP(Table1[[#This Row],[Player]],Table1918[[Hole]:[Cup Points]],18,0),VLOOKUP(Table1[[#This Row],[Player]],Table191519[[Hole]:[Cup Points]],18,0))</f>
        <v>1.5</v>
      </c>
    </row>
    <row r="50" spans="1:9" ht="12.75" hidden="1" x14ac:dyDescent="0.2">
      <c r="A50" s="87" t="s">
        <v>15</v>
      </c>
      <c r="B50" s="23" t="str">
        <f>VLOOKUP(A50,Table6[[#All],[Player]:[Team]],2,0)</f>
        <v>Eric</v>
      </c>
      <c r="C50" s="23">
        <f>VLOOKUP(Table1[[#This Row],[Player]],'Player Info'!A:C,3,0)</f>
        <v>15</v>
      </c>
      <c r="D50" s="23">
        <v>5</v>
      </c>
      <c r="E50" s="23">
        <f>SUM(VLOOKUP(Table1[[#This Row],[Player]],Table191620[[Hole]:[Out]],11,0),VLOOKUP(Table1[[#This Row],[Player]],Table19151721[[Hole]:[In]],11,0))</f>
        <v>0</v>
      </c>
      <c r="F50" s="23">
        <f>IF(Table1[[#This Row],[Gross]]&gt;0,Table1[[#This Row],[Gross]]-72,0)</f>
        <v>0</v>
      </c>
      <c r="G50" s="23">
        <f>IF(Table1[[#This Row],[Gross]]&gt;0,Table1[[#This Row],[Gross]]-Table1[[#This Row],[Index]],0)</f>
        <v>0</v>
      </c>
      <c r="H50" s="23">
        <f>IF(Table1[[#This Row],[Net]]&gt;0,Table1[[#This Row],[Net]]-72,0)</f>
        <v>0</v>
      </c>
      <c r="I50" s="107">
        <f>SUM(VLOOKUP(Table1[[#This Row],[Player]],Table191620[[Hole]:[Cup Points]],18,0),VLOOKUP(Table1[[#This Row],[Player]],Table19151721[[Hole]:[Cup Points]],18,0))</f>
        <v>0</v>
      </c>
    </row>
    <row r="51" spans="1:9" ht="12.75" hidden="1" x14ac:dyDescent="0.2">
      <c r="A51" s="87" t="s">
        <v>47</v>
      </c>
      <c r="B51" s="23" t="str">
        <f>VLOOKUP(A51,Table6[[#All],[Player]:[Team]],2,0)</f>
        <v>Danny</v>
      </c>
      <c r="C51" s="23">
        <f>VLOOKUP(Table1[[#This Row],[Player]],'Player Info'!A:C,3,0)</f>
        <v>10</v>
      </c>
      <c r="D51" s="23">
        <v>5</v>
      </c>
      <c r="E51" s="23">
        <f>SUM(VLOOKUP(Table1[[#This Row],[Player]],Table191620[[Hole]:[Out]],11,0),VLOOKUP(Table1[[#This Row],[Player]],Table19151721[[Hole]:[In]],11,0))</f>
        <v>0</v>
      </c>
      <c r="F51" s="23">
        <f>IF(Table1[[#This Row],[Gross]]&gt;0,Table1[[#This Row],[Gross]]-72,0)</f>
        <v>0</v>
      </c>
      <c r="G51" s="23">
        <f>IF(Table1[[#This Row],[Gross]]&gt;0,Table1[[#This Row],[Gross]]-Table1[[#This Row],[Index]],0)</f>
        <v>0</v>
      </c>
      <c r="H51" s="23">
        <f>IF(Table1[[#This Row],[Net]]&gt;0,Table1[[#This Row],[Net]]-72,0)</f>
        <v>0</v>
      </c>
      <c r="I51" s="107">
        <f>SUM(VLOOKUP(Table1[[#This Row],[Player]],Table191620[[Hole]:[Cup Points]],18,0),VLOOKUP(Table1[[#This Row],[Player]],Table19151721[[Hole]:[Cup Points]],18,0))</f>
        <v>0</v>
      </c>
    </row>
    <row r="52" spans="1:9" ht="12.75" hidden="1" x14ac:dyDescent="0.2">
      <c r="A52" s="87" t="s">
        <v>52</v>
      </c>
      <c r="B52" s="23" t="str">
        <f>VLOOKUP(A52,Table6[[#All],[Player]:[Team]],2,0)</f>
        <v>Matt</v>
      </c>
      <c r="C52" s="23">
        <f>VLOOKUP(Table1[[#This Row],[Player]],'Player Info'!A:C,3,0)</f>
        <v>16</v>
      </c>
      <c r="D52" s="23">
        <v>5</v>
      </c>
      <c r="E52" s="23">
        <f>SUM(VLOOKUP(Table1[[#This Row],[Player]],Table191620[[Hole]:[Out]],11,0),VLOOKUP(Table1[[#This Row],[Player]],Table19151721[[Hole]:[In]],11,0))</f>
        <v>0</v>
      </c>
      <c r="F52" s="23">
        <f>IF(Table1[[#This Row],[Gross]]&gt;0,Table1[[#This Row],[Gross]]-72,0)</f>
        <v>0</v>
      </c>
      <c r="G52" s="23">
        <f>IF(Table1[[#This Row],[Gross]]&gt;0,Table1[[#This Row],[Gross]]-Table1[[#This Row],[Index]],0)</f>
        <v>0</v>
      </c>
      <c r="H52" s="23">
        <f>IF(Table1[[#This Row],[Net]]&gt;0,Table1[[#This Row],[Net]]-72,0)</f>
        <v>0</v>
      </c>
      <c r="I52" s="107">
        <f>SUM(VLOOKUP(Table1[[#This Row],[Player]],Table191620[[Hole]:[Cup Points]],18,0),VLOOKUP(Table1[[#This Row],[Player]],Table19151721[[Hole]:[Cup Points]],18,0))</f>
        <v>0</v>
      </c>
    </row>
    <row r="53" spans="1:9" ht="12.75" hidden="1" x14ac:dyDescent="0.2">
      <c r="A53" s="87" t="s">
        <v>36</v>
      </c>
      <c r="B53" s="23" t="str">
        <f>VLOOKUP(A53,Table6[[#All],[Player]:[Team]],2,0)</f>
        <v>Danny</v>
      </c>
      <c r="C53" s="23">
        <f>VLOOKUP(Table1[[#This Row],[Player]],'Player Info'!A:C,3,0)</f>
        <v>6</v>
      </c>
      <c r="D53" s="23">
        <v>5</v>
      </c>
      <c r="E53" s="23">
        <f>SUM(VLOOKUP(Table1[[#This Row],[Player]],Table191620[[Hole]:[Out]],11,0),VLOOKUP(Table1[[#This Row],[Player]],Table19151721[[Hole]:[In]],11,0))</f>
        <v>0</v>
      </c>
      <c r="F53" s="23">
        <f>IF(Table1[[#This Row],[Gross]]&gt;0,Table1[[#This Row],[Gross]]-72,0)</f>
        <v>0</v>
      </c>
      <c r="G53" s="23">
        <f>IF(Table1[[#This Row],[Gross]]&gt;0,Table1[[#This Row],[Gross]]-Table1[[#This Row],[Index]],0)</f>
        <v>0</v>
      </c>
      <c r="H53" s="23">
        <f>IF(Table1[[#This Row],[Net]]&gt;0,Table1[[#This Row],[Net]]-72,0)</f>
        <v>0</v>
      </c>
      <c r="I53" s="107">
        <f>SUM(VLOOKUP(Table1[[#This Row],[Player]],Table191620[[Hole]:[Cup Points]],18,0),VLOOKUP(Table1[[#This Row],[Player]],Table19151721[[Hole]:[Cup Points]],18,0))</f>
        <v>0</v>
      </c>
    </row>
    <row r="54" spans="1:9" ht="12.75" hidden="1" x14ac:dyDescent="0.2">
      <c r="A54" s="87" t="s">
        <v>14</v>
      </c>
      <c r="B54" s="23" t="str">
        <f>VLOOKUP(A54,Table6[[#All],[Player]:[Team]],2,0)</f>
        <v>Eric</v>
      </c>
      <c r="C54" s="23">
        <f>VLOOKUP(Table1[[#This Row],[Player]],'Player Info'!A:C,3,0)</f>
        <v>6</v>
      </c>
      <c r="D54" s="23">
        <v>5</v>
      </c>
      <c r="E54" s="23">
        <f>SUM(VLOOKUP(Table1[[#This Row],[Player]],Table191620[[Hole]:[Out]],11,0),VLOOKUP(Table1[[#This Row],[Player]],Table19151721[[Hole]:[In]],11,0))</f>
        <v>0</v>
      </c>
      <c r="F54" s="23">
        <f>IF(Table1[[#This Row],[Gross]]&gt;0,Table1[[#This Row],[Gross]]-72,0)</f>
        <v>0</v>
      </c>
      <c r="G54" s="23">
        <f>IF(Table1[[#This Row],[Gross]]&gt;0,Table1[[#This Row],[Gross]]-Table1[[#This Row],[Index]],0)</f>
        <v>0</v>
      </c>
      <c r="H54" s="23">
        <f>IF(Table1[[#This Row],[Net]]&gt;0,Table1[[#This Row],[Net]]-72,0)</f>
        <v>0</v>
      </c>
      <c r="I54" s="107">
        <f>SUM(VLOOKUP(Table1[[#This Row],[Player]],Table191620[[Hole]:[Cup Points]],18,0),VLOOKUP(Table1[[#This Row],[Player]],Table19151721[[Hole]:[Cup Points]],18,0))</f>
        <v>0</v>
      </c>
    </row>
    <row r="55" spans="1:9" ht="12.75" hidden="1" x14ac:dyDescent="0.2">
      <c r="A55" s="87" t="s">
        <v>54</v>
      </c>
      <c r="B55" s="23" t="str">
        <f>VLOOKUP(A55,Table6[[#All],[Player]:[Team]],2,0)</f>
        <v>Danny</v>
      </c>
      <c r="C55" s="23">
        <f>VLOOKUP(Table1[[#This Row],[Player]],'Player Info'!A:C,3,0)</f>
        <v>15</v>
      </c>
      <c r="D55" s="23">
        <v>5</v>
      </c>
      <c r="E55" s="23">
        <f>SUM(VLOOKUP(Table1[[#This Row],[Player]],Table191620[[Hole]:[Out]],11,0),VLOOKUP(Table1[[#This Row],[Player]],Table19151721[[Hole]:[In]],11,0))</f>
        <v>0</v>
      </c>
      <c r="F55" s="23">
        <f>IF(Table1[[#This Row],[Gross]]&gt;0,Table1[[#This Row],[Gross]]-72,0)</f>
        <v>0</v>
      </c>
      <c r="G55" s="23">
        <f>IF(Table1[[#This Row],[Gross]]&gt;0,Table1[[#This Row],[Gross]]-Table1[[#This Row],[Index]],0)</f>
        <v>0</v>
      </c>
      <c r="H55" s="23">
        <f>IF(Table1[[#This Row],[Net]]&gt;0,Table1[[#This Row],[Net]]-72,0)</f>
        <v>0</v>
      </c>
      <c r="I55" s="107">
        <f>SUM(VLOOKUP(Table1[[#This Row],[Player]],Table191620[[Hole]:[Cup Points]],18,0),VLOOKUP(Table1[[#This Row],[Player]],Table19151721[[Hole]:[Cup Points]],18,0))</f>
        <v>0</v>
      </c>
    </row>
    <row r="56" spans="1:9" ht="12.75" hidden="1" x14ac:dyDescent="0.2">
      <c r="A56" s="87" t="s">
        <v>37</v>
      </c>
      <c r="B56" s="23" t="str">
        <f>VLOOKUP(A56,Table6[[#All],[Player]:[Team]],2,0)</f>
        <v>Danny</v>
      </c>
      <c r="C56" s="23">
        <f>VLOOKUP(Table1[[#This Row],[Player]],'Player Info'!A:C,3,0)</f>
        <v>9</v>
      </c>
      <c r="D56" s="23">
        <v>5</v>
      </c>
      <c r="E56" s="23">
        <f>SUM(VLOOKUP(Table1[[#This Row],[Player]],Table191620[[Hole]:[Out]],11,0),VLOOKUP(Table1[[#This Row],[Player]],Table19151721[[Hole]:[In]],11,0))</f>
        <v>0</v>
      </c>
      <c r="F56" s="23">
        <f>IF(Table1[[#This Row],[Gross]]&gt;0,Table1[[#This Row],[Gross]]-72,0)</f>
        <v>0</v>
      </c>
      <c r="G56" s="23">
        <f>IF(Table1[[#This Row],[Gross]]&gt;0,Table1[[#This Row],[Gross]]-Table1[[#This Row],[Index]],0)</f>
        <v>0</v>
      </c>
      <c r="H56" s="23">
        <f>IF(Table1[[#This Row],[Net]]&gt;0,Table1[[#This Row],[Net]]-72,0)</f>
        <v>0</v>
      </c>
      <c r="I56" s="107">
        <f>SUM(VLOOKUP(Table1[[#This Row],[Player]],Table191620[[Hole]:[Cup Points]],18,0),VLOOKUP(Table1[[#This Row],[Player]],Table19151721[[Hole]:[Cup Points]],18,0))</f>
        <v>0</v>
      </c>
    </row>
    <row r="57" spans="1:9" ht="12.75" hidden="1" x14ac:dyDescent="0.2">
      <c r="A57" s="87" t="s">
        <v>50</v>
      </c>
      <c r="B57" s="23" t="str">
        <f>VLOOKUP(A57,Table6[[#All],[Player]:[Team]],2,0)</f>
        <v>Eric</v>
      </c>
      <c r="C57" s="23">
        <f>VLOOKUP(Table1[[#This Row],[Player]],'Player Info'!A:C,3,0)</f>
        <v>10</v>
      </c>
      <c r="D57" s="23">
        <v>5</v>
      </c>
      <c r="E57" s="23">
        <f>SUM(VLOOKUP(Table1[[#This Row],[Player]],Table191620[[Hole]:[Out]],11,0),VLOOKUP(Table1[[#This Row],[Player]],Table19151721[[Hole]:[In]],11,0))</f>
        <v>0</v>
      </c>
      <c r="F57" s="23">
        <f>IF(Table1[[#This Row],[Gross]]&gt;0,Table1[[#This Row],[Gross]]-72,0)</f>
        <v>0</v>
      </c>
      <c r="G57" s="23">
        <f>IF(Table1[[#This Row],[Gross]]&gt;0,Table1[[#This Row],[Gross]]-Table1[[#This Row],[Index]],0)</f>
        <v>0</v>
      </c>
      <c r="H57" s="23">
        <f>IF(Table1[[#This Row],[Net]]&gt;0,Table1[[#This Row],[Net]]-72,0)</f>
        <v>0</v>
      </c>
      <c r="I57" s="107">
        <f>SUM(VLOOKUP(Table1[[#This Row],[Player]],Table191620[[Hole]:[Cup Points]],18,0),VLOOKUP(Table1[[#This Row],[Player]],Table19151721[[Hole]:[Cup Points]],18,0))</f>
        <v>0</v>
      </c>
    </row>
    <row r="58" spans="1:9" ht="12.75" hidden="1" x14ac:dyDescent="0.2">
      <c r="A58" s="87" t="s">
        <v>45</v>
      </c>
      <c r="B58" s="23" t="str">
        <f>VLOOKUP(A58,Table6[[#All],[Player]:[Team]],2,0)</f>
        <v>Matt</v>
      </c>
      <c r="C58" s="23">
        <f>VLOOKUP(Table1[[#This Row],[Player]],'Player Info'!A:C,3,0)</f>
        <v>6</v>
      </c>
      <c r="D58" s="23">
        <v>5</v>
      </c>
      <c r="E58" s="23">
        <f>SUM(VLOOKUP(Table1[[#This Row],[Player]],Table191620[[Hole]:[Out]],11,0),VLOOKUP(Table1[[#This Row],[Player]],Table19151721[[Hole]:[In]],11,0))</f>
        <v>0</v>
      </c>
      <c r="F58" s="23">
        <f>IF(Table1[[#This Row],[Gross]]&gt;0,Table1[[#This Row],[Gross]]-72,0)</f>
        <v>0</v>
      </c>
      <c r="G58" s="23">
        <f>IF(Table1[[#This Row],[Gross]]&gt;0,Table1[[#This Row],[Gross]]-Table1[[#This Row],[Index]],0)</f>
        <v>0</v>
      </c>
      <c r="H58" s="23">
        <f>IF(Table1[[#This Row],[Net]]&gt;0,Table1[[#This Row],[Net]]-72,0)</f>
        <v>0</v>
      </c>
      <c r="I58" s="107">
        <f>SUM(VLOOKUP(Table1[[#This Row],[Player]],Table191620[[Hole]:[Cup Points]],18,0),VLOOKUP(Table1[[#This Row],[Player]],Table19151721[[Hole]:[Cup Points]],18,0))</f>
        <v>0</v>
      </c>
    </row>
    <row r="59" spans="1:9" ht="12.75" hidden="1" x14ac:dyDescent="0.2">
      <c r="A59" s="87" t="s">
        <v>48</v>
      </c>
      <c r="B59" s="23" t="str">
        <f>VLOOKUP(A59,Table6[[#All],[Player]:[Team]],2,0)</f>
        <v>Matt</v>
      </c>
      <c r="C59" s="23">
        <f>VLOOKUP(Table1[[#This Row],[Player]],'Player Info'!A:C,3,0)</f>
        <v>16</v>
      </c>
      <c r="D59" s="23">
        <v>5</v>
      </c>
      <c r="E59" s="23">
        <f>SUM(VLOOKUP(Table1[[#This Row],[Player]],Table191620[[Hole]:[Out]],11,0),VLOOKUP(Table1[[#This Row],[Player]],Table19151721[[Hole]:[In]],11,0))</f>
        <v>0</v>
      </c>
      <c r="F59" s="23">
        <f>IF(Table1[[#This Row],[Gross]]&gt;0,Table1[[#This Row],[Gross]]-72,0)</f>
        <v>0</v>
      </c>
      <c r="G59" s="23">
        <f>IF(Table1[[#This Row],[Gross]]&gt;0,Table1[[#This Row],[Gross]]-Table1[[#This Row],[Index]],0)</f>
        <v>0</v>
      </c>
      <c r="H59" s="23">
        <f>IF(Table1[[#This Row],[Net]]&gt;0,Table1[[#This Row],[Net]]-72,0)</f>
        <v>0</v>
      </c>
      <c r="I59" s="107">
        <f>SUM(VLOOKUP(Table1[[#This Row],[Player]],Table191620[[Hole]:[Cup Points]],18,0),VLOOKUP(Table1[[#This Row],[Player]],Table19151721[[Hole]:[Cup Points]],18,0))</f>
        <v>0</v>
      </c>
    </row>
    <row r="60" spans="1:9" ht="12.75" hidden="1" x14ac:dyDescent="0.2">
      <c r="A60" s="87" t="s">
        <v>49</v>
      </c>
      <c r="B60" s="23" t="str">
        <f>VLOOKUP(A60,Table6[[#All],[Player]:[Team]],2,0)</f>
        <v>Matt</v>
      </c>
      <c r="C60" s="23">
        <f>VLOOKUP(Table1[[#This Row],[Player]],'Player Info'!A:C,3,0)</f>
        <v>3</v>
      </c>
      <c r="D60" s="23">
        <v>5</v>
      </c>
      <c r="E60" s="23">
        <f>SUM(VLOOKUP(Table1[[#This Row],[Player]],Table191620[[Hole]:[Out]],11,0),VLOOKUP(Table1[[#This Row],[Player]],Table19151721[[Hole]:[In]],11,0))</f>
        <v>0</v>
      </c>
      <c r="F60" s="23">
        <f>IF(Table1[[#This Row],[Gross]]&gt;0,Table1[[#This Row],[Gross]]-72,0)</f>
        <v>0</v>
      </c>
      <c r="G60" s="23">
        <f>IF(Table1[[#This Row],[Gross]]&gt;0,Table1[[#This Row],[Gross]]-Table1[[#This Row],[Index]],0)</f>
        <v>0</v>
      </c>
      <c r="H60" s="23">
        <f>IF(Table1[[#This Row],[Net]]&gt;0,Table1[[#This Row],[Net]]-72,0)</f>
        <v>0</v>
      </c>
      <c r="I60" s="107">
        <f>SUM(VLOOKUP(Table1[[#This Row],[Player]],Table191620[[Hole]:[Cup Points]],18,0),VLOOKUP(Table1[[#This Row],[Player]],Table19151721[[Hole]:[Cup Points]],18,0))</f>
        <v>0</v>
      </c>
    </row>
    <row r="61" spans="1:9" ht="12.75" hidden="1" x14ac:dyDescent="0.2">
      <c r="A61" s="87" t="s">
        <v>51</v>
      </c>
      <c r="B61" s="23" t="str">
        <f>VLOOKUP(A61,Table6[[#All],[Player]:[Team]],2,0)</f>
        <v>Eric</v>
      </c>
      <c r="C61" s="23">
        <f>VLOOKUP(Table1[[#This Row],[Player]],'Player Info'!A:C,3,0)</f>
        <v>14</v>
      </c>
      <c r="D61" s="23">
        <v>5</v>
      </c>
      <c r="E61" s="23">
        <f>SUM(VLOOKUP(Table1[[#This Row],[Player]],Table191620[[Hole]:[Out]],11,0),VLOOKUP(Table1[[#This Row],[Player]],Table19151721[[Hole]:[In]],11,0))</f>
        <v>0</v>
      </c>
      <c r="F61" s="23">
        <f>IF(Table1[[#This Row],[Gross]]&gt;0,Table1[[#This Row],[Gross]]-72,0)</f>
        <v>0</v>
      </c>
      <c r="G61" s="23">
        <f>IF(Table1[[#This Row],[Gross]]&gt;0,Table1[[#This Row],[Gross]]-Table1[[#This Row],[Index]],0)</f>
        <v>0</v>
      </c>
      <c r="H61" s="23">
        <f>IF(Table1[[#This Row],[Net]]&gt;0,Table1[[#This Row],[Net]]-72,0)</f>
        <v>0</v>
      </c>
      <c r="I61" s="107">
        <f>SUM(VLOOKUP(Table1[[#This Row],[Player]],Table191620[[Hole]:[Cup Points]],18,0),VLOOKUP(Table1[[#This Row],[Player]],Table19151721[[Hole]:[Cup Points]],18,0))</f>
        <v>0</v>
      </c>
    </row>
    <row r="62" spans="1:9" ht="12.75" x14ac:dyDescent="0.2">
      <c r="A62" s="87" t="s">
        <v>37</v>
      </c>
      <c r="B62" s="23" t="str">
        <f>VLOOKUP(A62,Table6[[#All],[Player]:[Team]],2,0)</f>
        <v>Danny</v>
      </c>
      <c r="C62" s="23">
        <f>VLOOKUP(Table1[[#This Row],[Player]],'Player Info'!A:C,3,0)</f>
        <v>9</v>
      </c>
      <c r="D62" s="23">
        <v>1</v>
      </c>
      <c r="E62" s="23">
        <f>VLOOKUP(Table1[[#This Row],[Player]],Table5[[Hole]:[Gross]],22,0)</f>
        <v>92</v>
      </c>
      <c r="F62" s="23">
        <f>IF(Table1[[#This Row],[Gross]]&gt;0,Table1[[#This Row],[Gross]]-72,0)</f>
        <v>20</v>
      </c>
      <c r="G62" s="23">
        <f>IF(Table1[[#This Row],[Gross]]&gt;0,Table1[[#This Row],[Gross]]-Table1[[#This Row],[Index]],0)</f>
        <v>83</v>
      </c>
      <c r="H62" s="23">
        <f>IF(Table1[[#This Row],[Net]]&gt;0,Table1[[#This Row],[Net]]-72,0)</f>
        <v>11</v>
      </c>
      <c r="I62" s="107">
        <v>0</v>
      </c>
    </row>
    <row r="63" spans="1:9" ht="12.75" x14ac:dyDescent="0.2">
      <c r="A63" s="87" t="s">
        <v>37</v>
      </c>
      <c r="B63" s="23" t="str">
        <f>VLOOKUP(A63,Table6[[#All],[Player]:[Team]],2,0)</f>
        <v>Danny</v>
      </c>
      <c r="C63" s="23">
        <f>VLOOKUP(Table1[[#This Row],[Player]],'Player Info'!A:C,3,0)</f>
        <v>9</v>
      </c>
      <c r="D63" s="23">
        <v>2</v>
      </c>
      <c r="E63" s="23">
        <f>VLOOKUP(Table1[[#This Row],[Player]],Table13[[Hole]:[Gross]],22,0)</f>
        <v>97</v>
      </c>
      <c r="F63" s="23">
        <f>IF(Table1[[#This Row],[Gross]]&gt;0,Table1[[#This Row],[Gross]]-72,0)</f>
        <v>25</v>
      </c>
      <c r="G63" s="23">
        <f>IF(Table1[[#This Row],[Gross]]&gt;0,Table1[[#This Row],[Gross]]-Table1[[#This Row],[Index]],0)</f>
        <v>88</v>
      </c>
      <c r="H63" s="23">
        <f>IF(Table1[[#This Row],[Net]]&gt;0,Table1[[#This Row],[Net]]-72,0)</f>
        <v>16</v>
      </c>
      <c r="I63" s="107">
        <f>VLOOKUP(Table1[[#This Row],[Player]],Table13[[Hole]:[Cup Points]],28,0)</f>
        <v>0</v>
      </c>
    </row>
    <row r="64" spans="1:9" ht="12.75" x14ac:dyDescent="0.2">
      <c r="A64" s="87" t="s">
        <v>37</v>
      </c>
      <c r="B64" s="23" t="str">
        <f>VLOOKUP(A64,Table6[[#All],[Player]:[Team]],2,0)</f>
        <v>Danny</v>
      </c>
      <c r="C64" s="23">
        <f>VLOOKUP(Table1[[#This Row],[Player]],'Player Info'!A:C,3,0)</f>
        <v>9</v>
      </c>
      <c r="D64" s="23">
        <v>3</v>
      </c>
      <c r="E64" s="23">
        <f>VLOOKUP(Table1[[#This Row],[Player]],Table111[[Hole]:[Gross]],22,0)</f>
        <v>95</v>
      </c>
      <c r="F64" s="23">
        <f>IF(Table1[[#This Row],[Gross]]&gt;0,Table1[[#This Row],[Gross]]-72,0)</f>
        <v>23</v>
      </c>
      <c r="G64" s="23">
        <f>IF(Table1[[#This Row],[Gross]]&gt;0,Table1[[#This Row],[Gross]]-Table1[[#This Row],[Index]],0)</f>
        <v>86</v>
      </c>
      <c r="H64" s="23">
        <f>IF(Table1[[#This Row],[Net]]&gt;0,Table1[[#This Row],[Net]]-72,0)</f>
        <v>14</v>
      </c>
      <c r="I64" s="107">
        <f>VLOOKUP(Table1[[#This Row],[Player]],Table111[[Hole]:[Cup Points]],28,0)</f>
        <v>0</v>
      </c>
    </row>
    <row r="65" spans="1:9" ht="12.75" x14ac:dyDescent="0.2">
      <c r="A65" s="87" t="s">
        <v>37</v>
      </c>
      <c r="B65" s="23" t="str">
        <f>VLOOKUP(A65,Table6[[#All],[Player]:[Team]],2,0)</f>
        <v>Danny</v>
      </c>
      <c r="C65" s="23">
        <f>VLOOKUP(Table1[[#This Row],[Player]],'Player Info'!A:C,3,0)</f>
        <v>9</v>
      </c>
      <c r="D65" s="23">
        <v>6</v>
      </c>
      <c r="E65" s="23">
        <f>VLOOKUP(Table1[[#This Row],[Player]],Table1412[[Hole]:[Gross]],22,0)</f>
        <v>93</v>
      </c>
      <c r="F65" s="23">
        <f>IF(Table1[[#This Row],[Gross]]&gt;0,Table1[[#This Row],[Gross]]-72,0)</f>
        <v>21</v>
      </c>
      <c r="G65" s="23">
        <f>IF(Table1[[#This Row],[Gross]]&gt;0,Table1[[#This Row],[Gross]]-Table1[[#This Row],[Index]],0)</f>
        <v>84</v>
      </c>
      <c r="H65" s="23">
        <f>IF(Table1[[#This Row],[Net]]&gt;0,Table1[[#This Row],[Net]]-72,0)</f>
        <v>12</v>
      </c>
      <c r="I65" s="107">
        <f>VLOOKUP(Table1[[#This Row],[Player]],Table1412[[Hole]:[Cup Points]],28,0)</f>
        <v>0</v>
      </c>
    </row>
    <row r="66" spans="1:9" ht="12.75" x14ac:dyDescent="0.2">
      <c r="A66" s="87" t="s">
        <v>37</v>
      </c>
      <c r="B66" s="23" t="str">
        <f>VLOOKUP(A66,Table6[[#All],[Player]:[Team]],2,0)</f>
        <v>Danny</v>
      </c>
      <c r="C66" s="23">
        <f>VLOOKUP(Table1[[#This Row],[Player]],'Player Info'!A:C,3,0)</f>
        <v>9</v>
      </c>
      <c r="D66" s="23">
        <v>7</v>
      </c>
      <c r="E66" s="23">
        <f>VLOOKUP(Table1[[#This Row],[Player]],Table14513[[Hole]:[Gross]],22,0)</f>
        <v>99</v>
      </c>
      <c r="F66" s="23">
        <f>IF(Table1[[#This Row],[Gross]]&gt;0,Table1[[#This Row],[Gross]]-72,0)</f>
        <v>27</v>
      </c>
      <c r="G66" s="23">
        <f>IF(Table1[[#This Row],[Gross]]&gt;0,Table1[[#This Row],[Gross]]-Table1[[#This Row],[Index]],0)</f>
        <v>90</v>
      </c>
      <c r="H66" s="23">
        <f>IF(Table1[[#This Row],[Net]]&gt;0,Table1[[#This Row],[Net]]-72,0)</f>
        <v>18</v>
      </c>
      <c r="I66" s="107">
        <f>VLOOKUP(Table1[[#This Row],[Player]],Table14513[[Hole]:[Cup Points]],28,0)</f>
        <v>0</v>
      </c>
    </row>
    <row r="67" spans="1:9" ht="12.75" x14ac:dyDescent="0.2">
      <c r="A67" s="87" t="s">
        <v>37</v>
      </c>
      <c r="B67" s="23" t="str">
        <f>VLOOKUP(A67,Table6[[#All],[Player]:[Team]],2,0)</f>
        <v>Danny</v>
      </c>
      <c r="C67" s="23">
        <f>VLOOKUP(Table1[[#This Row],[Player]],'Player Info'!A:C,3,0)</f>
        <v>9</v>
      </c>
      <c r="D67" s="23">
        <v>8</v>
      </c>
      <c r="E67" s="23">
        <f>VLOOKUP(Table1[[#This Row],[Player]],Table145814[[Player]:[Gross]],22,0)</f>
        <v>80</v>
      </c>
      <c r="F67" s="23">
        <f>IF(Table1[[#This Row],[Gross]]&gt;0,Table1[[#This Row],[Gross]]-72,0)</f>
        <v>8</v>
      </c>
      <c r="G67" s="23">
        <f>IF(Table1[[#This Row],[Gross]]&gt;0,Table1[[#This Row],[Gross]]-Table1[[#This Row],[Index]],0)</f>
        <v>71</v>
      </c>
      <c r="H67" s="23">
        <f>IF(Table1[[#This Row],[Net]]&gt;0,Table1[[#This Row],[Net]]-72,0)</f>
        <v>-1</v>
      </c>
      <c r="I67" s="107">
        <v>0</v>
      </c>
    </row>
    <row r="68" spans="1:9" ht="12.75" x14ac:dyDescent="0.2">
      <c r="A68" s="87" t="s">
        <v>50</v>
      </c>
      <c r="B68" s="23" t="str">
        <f>VLOOKUP(A68,Table6[[#All],[Player]:[Team]],2,0)</f>
        <v>Eric</v>
      </c>
      <c r="C68" s="23">
        <f>VLOOKUP(Table1[[#This Row],[Player]],'Player Info'!A:C,3,0)</f>
        <v>10</v>
      </c>
      <c r="D68" s="23">
        <v>1</v>
      </c>
      <c r="E68" s="23">
        <f>VLOOKUP(Table1[[#This Row],[Player]],Table5[[Hole]:[Gross]],22,0)</f>
        <v>94</v>
      </c>
      <c r="F68" s="23">
        <f>IF(Table1[[#This Row],[Gross]]&gt;0,Table1[[#This Row],[Gross]]-72,0)</f>
        <v>22</v>
      </c>
      <c r="G68" s="23">
        <f>IF(Table1[[#This Row],[Gross]]&gt;0,Table1[[#This Row],[Gross]]-Table1[[#This Row],[Index]],0)</f>
        <v>84</v>
      </c>
      <c r="H68" s="23">
        <f>IF(Table1[[#This Row],[Net]]&gt;0,Table1[[#This Row],[Net]]-72,0)</f>
        <v>12</v>
      </c>
      <c r="I68" s="107">
        <v>0</v>
      </c>
    </row>
    <row r="69" spans="1:9" ht="12.75" x14ac:dyDescent="0.2">
      <c r="A69" s="87" t="s">
        <v>50</v>
      </c>
      <c r="B69" s="23" t="str">
        <f>VLOOKUP(A69,Table6[[#All],[Player]:[Team]],2,0)</f>
        <v>Eric</v>
      </c>
      <c r="C69" s="23">
        <f>VLOOKUP(Table1[[#This Row],[Player]],'Player Info'!A:C,3,0)</f>
        <v>10</v>
      </c>
      <c r="D69" s="23">
        <v>2</v>
      </c>
      <c r="E69" s="23">
        <f>VLOOKUP(Table1[[#This Row],[Player]],Table13[[Hole]:[Gross]],22,0)</f>
        <v>96</v>
      </c>
      <c r="F69" s="23">
        <f>IF(Table1[[#This Row],[Gross]]&gt;0,Table1[[#This Row],[Gross]]-72,0)</f>
        <v>24</v>
      </c>
      <c r="G69" s="23">
        <f>IF(Table1[[#This Row],[Gross]]&gt;0,Table1[[#This Row],[Gross]]-Table1[[#This Row],[Index]],0)</f>
        <v>86</v>
      </c>
      <c r="H69" s="23">
        <f>IF(Table1[[#This Row],[Net]]&gt;0,Table1[[#This Row],[Net]]-72,0)</f>
        <v>14</v>
      </c>
      <c r="I69" s="107">
        <f>VLOOKUP(Table1[[#This Row],[Player]],Table13[[Hole]:[Cup Points]],28,0)</f>
        <v>1</v>
      </c>
    </row>
    <row r="70" spans="1:9" ht="12.75" x14ac:dyDescent="0.2">
      <c r="A70" s="87" t="s">
        <v>50</v>
      </c>
      <c r="B70" s="23" t="str">
        <f>VLOOKUP(A70,Table6[[#All],[Player]:[Team]],2,0)</f>
        <v>Eric</v>
      </c>
      <c r="C70" s="23">
        <f>VLOOKUP(Table1[[#This Row],[Player]],'Player Info'!A:C,3,0)</f>
        <v>10</v>
      </c>
      <c r="D70" s="23">
        <v>3</v>
      </c>
      <c r="E70" s="23">
        <f>VLOOKUP(Table1[[#This Row],[Player]],Table111[[Hole]:[Gross]],22,0)</f>
        <v>88</v>
      </c>
      <c r="F70" s="23">
        <f>IF(Table1[[#This Row],[Gross]]&gt;0,Table1[[#This Row],[Gross]]-72,0)</f>
        <v>16</v>
      </c>
      <c r="G70" s="23">
        <f>IF(Table1[[#This Row],[Gross]]&gt;0,Table1[[#This Row],[Gross]]-Table1[[#This Row],[Index]],0)</f>
        <v>78</v>
      </c>
      <c r="H70" s="23">
        <f>IF(Table1[[#This Row],[Net]]&gt;0,Table1[[#This Row],[Net]]-72,0)</f>
        <v>6</v>
      </c>
      <c r="I70" s="107">
        <f>VLOOKUP(Table1[[#This Row],[Player]],Table111[[Hole]:[Cup Points]],28,0)</f>
        <v>2</v>
      </c>
    </row>
    <row r="71" spans="1:9" ht="12.75" x14ac:dyDescent="0.2">
      <c r="A71" s="87" t="s">
        <v>50</v>
      </c>
      <c r="B71" s="23" t="str">
        <f>VLOOKUP(A71,Table6[[#All],[Player]:[Team]],2,0)</f>
        <v>Eric</v>
      </c>
      <c r="C71" s="23">
        <f>VLOOKUP(Table1[[#This Row],[Player]],'Player Info'!A:C,3,0)</f>
        <v>10</v>
      </c>
      <c r="D71" s="23">
        <v>6</v>
      </c>
      <c r="E71" s="23">
        <f>VLOOKUP(Table1[[#This Row],[Player]],Table1412[[Hole]:[Gross]],22,0)</f>
        <v>82</v>
      </c>
      <c r="F71" s="23">
        <f>IF(Table1[[#This Row],[Gross]]&gt;0,Table1[[#This Row],[Gross]]-72,0)</f>
        <v>10</v>
      </c>
      <c r="G71" s="23">
        <f>IF(Table1[[#This Row],[Gross]]&gt;0,Table1[[#This Row],[Gross]]-Table1[[#This Row],[Index]],0)</f>
        <v>72</v>
      </c>
      <c r="H71" s="23">
        <f>IF(Table1[[#This Row],[Net]]&gt;0,Table1[[#This Row],[Net]]-72,0)</f>
        <v>0</v>
      </c>
      <c r="I71" s="107">
        <f>VLOOKUP(Table1[[#This Row],[Player]],Table1412[[Hole]:[Cup Points]],28,0)</f>
        <v>1</v>
      </c>
    </row>
    <row r="72" spans="1:9" ht="12.75" x14ac:dyDescent="0.2">
      <c r="A72" s="87" t="s">
        <v>50</v>
      </c>
      <c r="B72" s="23" t="str">
        <f>VLOOKUP(A72,Table6[[#All],[Player]:[Team]],2,0)</f>
        <v>Eric</v>
      </c>
      <c r="C72" s="23">
        <f>VLOOKUP(Table1[[#This Row],[Player]],'Player Info'!A:C,3,0)</f>
        <v>10</v>
      </c>
      <c r="D72" s="23">
        <v>7</v>
      </c>
      <c r="E72" s="23">
        <f>VLOOKUP(Table1[[#This Row],[Player]],Table14513[[Hole]:[Gross]],22,0)</f>
        <v>90</v>
      </c>
      <c r="F72" s="23">
        <f>IF(Table1[[#This Row],[Gross]]&gt;0,Table1[[#This Row],[Gross]]-72,0)</f>
        <v>18</v>
      </c>
      <c r="G72" s="23">
        <f>IF(Table1[[#This Row],[Gross]]&gt;0,Table1[[#This Row],[Gross]]-Table1[[#This Row],[Index]],0)</f>
        <v>80</v>
      </c>
      <c r="H72" s="23">
        <f>IF(Table1[[#This Row],[Net]]&gt;0,Table1[[#This Row],[Net]]-72,0)</f>
        <v>8</v>
      </c>
      <c r="I72" s="107">
        <f>VLOOKUP(Table1[[#This Row],[Player]],Table14513[[Hole]:[Cup Points]],28,0)</f>
        <v>1</v>
      </c>
    </row>
    <row r="73" spans="1:9" ht="12.75" x14ac:dyDescent="0.2">
      <c r="A73" s="87" t="s">
        <v>50</v>
      </c>
      <c r="B73" s="23" t="str">
        <f>VLOOKUP(A73,Table6[[#All],[Player]:[Team]],2,0)</f>
        <v>Eric</v>
      </c>
      <c r="C73" s="23">
        <f>VLOOKUP(Table1[[#This Row],[Player]],'Player Info'!A:C,3,0)</f>
        <v>10</v>
      </c>
      <c r="D73" s="23">
        <v>8</v>
      </c>
      <c r="E73" s="23">
        <f>VLOOKUP(Table1[[#This Row],[Player]],Table145814[[Player]:[Gross]],22,0)</f>
        <v>106</v>
      </c>
      <c r="F73" s="23">
        <f>IF(Table1[[#This Row],[Gross]]&gt;0,Table1[[#This Row],[Gross]]-72,0)</f>
        <v>34</v>
      </c>
      <c r="G73" s="23">
        <f>IF(Table1[[#This Row],[Gross]]&gt;0,Table1[[#This Row],[Gross]]-Table1[[#This Row],[Index]],0)</f>
        <v>96</v>
      </c>
      <c r="H73" s="23">
        <f>IF(Table1[[#This Row],[Net]]&gt;0,Table1[[#This Row],[Net]]-72,0)</f>
        <v>24</v>
      </c>
      <c r="I73" s="107">
        <v>0</v>
      </c>
    </row>
    <row r="74" spans="1:9" ht="12.75" x14ac:dyDescent="0.2">
      <c r="A74" s="87" t="s">
        <v>45</v>
      </c>
      <c r="B74" s="23" t="str">
        <f>VLOOKUP(A74,Table6[[#All],[Player]:[Team]],2,0)</f>
        <v>Matt</v>
      </c>
      <c r="C74" s="23">
        <f>VLOOKUP(Table1[[#This Row],[Player]],'Player Info'!A:C,3,0)</f>
        <v>6</v>
      </c>
      <c r="D74" s="23">
        <v>1</v>
      </c>
      <c r="E74" s="23">
        <f>VLOOKUP(Table1[[#This Row],[Player]],Table5[[Hole]:[Gross]],22,0)</f>
        <v>86</v>
      </c>
      <c r="F74" s="23">
        <f>IF(Table1[[#This Row],[Gross]]&gt;0,Table1[[#This Row],[Gross]]-72,0)</f>
        <v>14</v>
      </c>
      <c r="G74" s="23">
        <f>IF(Table1[[#This Row],[Gross]]&gt;0,Table1[[#This Row],[Gross]]-Table1[[#This Row],[Index]],0)</f>
        <v>80</v>
      </c>
      <c r="H74" s="23">
        <f>IF(Table1[[#This Row],[Net]]&gt;0,Table1[[#This Row],[Net]]-72,0)</f>
        <v>8</v>
      </c>
      <c r="I74" s="107">
        <v>0</v>
      </c>
    </row>
    <row r="75" spans="1:9" ht="12.75" x14ac:dyDescent="0.2">
      <c r="A75" s="87" t="s">
        <v>45</v>
      </c>
      <c r="B75" s="23" t="str">
        <f>VLOOKUP(A75,Table6[[#All],[Player]:[Team]],2,0)</f>
        <v>Matt</v>
      </c>
      <c r="C75" s="23">
        <f>VLOOKUP(Table1[[#This Row],[Player]],'Player Info'!A:C,3,0)</f>
        <v>6</v>
      </c>
      <c r="D75" s="23">
        <v>2</v>
      </c>
      <c r="E75" s="23">
        <f>VLOOKUP(Table1[[#This Row],[Player]],Table13[[Hole]:[Gross]],22,0)</f>
        <v>87</v>
      </c>
      <c r="F75" s="23">
        <f>IF(Table1[[#This Row],[Gross]]&gt;0,Table1[[#This Row],[Gross]]-72,0)</f>
        <v>15</v>
      </c>
      <c r="G75" s="23">
        <f>IF(Table1[[#This Row],[Gross]]&gt;0,Table1[[#This Row],[Gross]]-Table1[[#This Row],[Index]],0)</f>
        <v>81</v>
      </c>
      <c r="H75" s="23">
        <f>IF(Table1[[#This Row],[Net]]&gt;0,Table1[[#This Row],[Net]]-72,0)</f>
        <v>9</v>
      </c>
      <c r="I75" s="107">
        <f>VLOOKUP(Table1[[#This Row],[Player]],Table13[[Hole]:[Cup Points]],28,0)</f>
        <v>2</v>
      </c>
    </row>
    <row r="76" spans="1:9" ht="12.75" x14ac:dyDescent="0.2">
      <c r="A76" s="87" t="s">
        <v>45</v>
      </c>
      <c r="B76" s="23" t="str">
        <f>VLOOKUP(A76,Table6[[#All],[Player]:[Team]],2,0)</f>
        <v>Matt</v>
      </c>
      <c r="C76" s="23">
        <f>VLOOKUP(Table1[[#This Row],[Player]],'Player Info'!A:C,3,0)</f>
        <v>6</v>
      </c>
      <c r="D76" s="23">
        <v>3</v>
      </c>
      <c r="E76" s="23">
        <f>VLOOKUP(Table1[[#This Row],[Player]],Table111[[Hole]:[Gross]],22,0)</f>
        <v>87</v>
      </c>
      <c r="F76" s="23">
        <f>IF(Table1[[#This Row],[Gross]]&gt;0,Table1[[#This Row],[Gross]]-72,0)</f>
        <v>15</v>
      </c>
      <c r="G76" s="23">
        <f>IF(Table1[[#This Row],[Gross]]&gt;0,Table1[[#This Row],[Gross]]-Table1[[#This Row],[Index]],0)</f>
        <v>81</v>
      </c>
      <c r="H76" s="23">
        <f>IF(Table1[[#This Row],[Net]]&gt;0,Table1[[#This Row],[Net]]-72,0)</f>
        <v>9</v>
      </c>
      <c r="I76" s="107">
        <f>VLOOKUP(Table1[[#This Row],[Player]],Table111[[Hole]:[Cup Points]],28,0)</f>
        <v>1</v>
      </c>
    </row>
    <row r="77" spans="1:9" ht="12.75" x14ac:dyDescent="0.2">
      <c r="A77" s="87" t="s">
        <v>45</v>
      </c>
      <c r="B77" s="23" t="str">
        <f>VLOOKUP(A77,Table6[[#All],[Player]:[Team]],2,0)</f>
        <v>Matt</v>
      </c>
      <c r="C77" s="23">
        <f>VLOOKUP(Table1[[#This Row],[Player]],'Player Info'!A:C,3,0)</f>
        <v>6</v>
      </c>
      <c r="D77" s="23">
        <v>6</v>
      </c>
      <c r="E77" s="23">
        <f>VLOOKUP(Table1[[#This Row],[Player]],Table1412[[Hole]:[Gross]],22,0)</f>
        <v>79</v>
      </c>
      <c r="F77" s="23">
        <f>IF(Table1[[#This Row],[Gross]]&gt;0,Table1[[#This Row],[Gross]]-72,0)</f>
        <v>7</v>
      </c>
      <c r="G77" s="23">
        <f>IF(Table1[[#This Row],[Gross]]&gt;0,Table1[[#This Row],[Gross]]-Table1[[#This Row],[Index]],0)</f>
        <v>73</v>
      </c>
      <c r="H77" s="23">
        <f>IF(Table1[[#This Row],[Net]]&gt;0,Table1[[#This Row],[Net]]-72,0)</f>
        <v>1</v>
      </c>
      <c r="I77" s="107">
        <f>VLOOKUP(Table1[[#This Row],[Player]],Table1412[[Hole]:[Cup Points]],28,0)</f>
        <v>1</v>
      </c>
    </row>
    <row r="78" spans="1:9" ht="12.75" x14ac:dyDescent="0.2">
      <c r="A78" s="87" t="s">
        <v>45</v>
      </c>
      <c r="B78" s="23" t="str">
        <f>VLOOKUP(A78,Table6[[#All],[Player]:[Team]],2,0)</f>
        <v>Matt</v>
      </c>
      <c r="C78" s="23">
        <f>VLOOKUP(Table1[[#This Row],[Player]],'Player Info'!A:C,3,0)</f>
        <v>6</v>
      </c>
      <c r="D78" s="23">
        <v>7</v>
      </c>
      <c r="E78" s="23">
        <f>VLOOKUP(Table1[[#This Row],[Player]],Table14513[[Hole]:[Gross]],22,0)</f>
        <v>85</v>
      </c>
      <c r="F78" s="23">
        <f>IF(Table1[[#This Row],[Gross]]&gt;0,Table1[[#This Row],[Gross]]-72,0)</f>
        <v>13</v>
      </c>
      <c r="G78" s="23">
        <f>IF(Table1[[#This Row],[Gross]]&gt;0,Table1[[#This Row],[Gross]]-Table1[[#This Row],[Index]],0)</f>
        <v>79</v>
      </c>
      <c r="H78" s="23">
        <f>IF(Table1[[#This Row],[Net]]&gt;0,Table1[[#This Row],[Net]]-72,0)</f>
        <v>7</v>
      </c>
      <c r="I78" s="107">
        <f>VLOOKUP(Table1[[#This Row],[Player]],Table14513[[Hole]:[Cup Points]],28,0)</f>
        <v>1</v>
      </c>
    </row>
    <row r="79" spans="1:9" ht="12.75" x14ac:dyDescent="0.2">
      <c r="A79" s="87" t="s">
        <v>45</v>
      </c>
      <c r="B79" s="23" t="str">
        <f>VLOOKUP(A79,Table6[[#All],[Player]:[Team]],2,0)</f>
        <v>Matt</v>
      </c>
      <c r="C79" s="23">
        <f>VLOOKUP(Table1[[#This Row],[Player]],'Player Info'!A:C,3,0)</f>
        <v>6</v>
      </c>
      <c r="D79" s="23">
        <v>8</v>
      </c>
      <c r="E79" s="23">
        <f>VLOOKUP(Table1[[#This Row],[Player]],Table145814[[Player]:[Gross]],22,0)</f>
        <v>86</v>
      </c>
      <c r="F79" s="23">
        <f>IF(Table1[[#This Row],[Gross]]&gt;0,Table1[[#This Row],[Gross]]-72,0)</f>
        <v>14</v>
      </c>
      <c r="G79" s="23">
        <f>IF(Table1[[#This Row],[Gross]]&gt;0,Table1[[#This Row],[Gross]]-Table1[[#This Row],[Index]],0)</f>
        <v>80</v>
      </c>
      <c r="H79" s="23">
        <f>IF(Table1[[#This Row],[Net]]&gt;0,Table1[[#This Row],[Net]]-72,0)</f>
        <v>8</v>
      </c>
      <c r="I79" s="107">
        <v>0</v>
      </c>
    </row>
    <row r="80" spans="1:9" ht="12.75" x14ac:dyDescent="0.2">
      <c r="A80" s="87" t="s">
        <v>48</v>
      </c>
      <c r="B80" s="23" t="str">
        <f>VLOOKUP(A80,Table6[[#All],[Player]:[Team]],2,0)</f>
        <v>Matt</v>
      </c>
      <c r="C80" s="23">
        <f>VLOOKUP(Table1[[#This Row],[Player]],'Player Info'!A:C,3,0)</f>
        <v>16</v>
      </c>
      <c r="D80" s="23">
        <v>1</v>
      </c>
      <c r="E80" s="23">
        <f>VLOOKUP(Table1[[#This Row],[Player]],Table5[[Hole]:[Gross]],22,0)</f>
        <v>97</v>
      </c>
      <c r="F80" s="23">
        <f>IF(Table1[[#This Row],[Gross]]&gt;0,Table1[[#This Row],[Gross]]-72,0)</f>
        <v>25</v>
      </c>
      <c r="G80" s="23">
        <f>IF(Table1[[#This Row],[Gross]]&gt;0,Table1[[#This Row],[Gross]]-Table1[[#This Row],[Index]],0)</f>
        <v>81</v>
      </c>
      <c r="H80" s="23">
        <f>IF(Table1[[#This Row],[Net]]&gt;0,Table1[[#This Row],[Net]]-72,0)</f>
        <v>9</v>
      </c>
      <c r="I80" s="107">
        <v>0</v>
      </c>
    </row>
    <row r="81" spans="1:9" ht="12.75" x14ac:dyDescent="0.2">
      <c r="A81" s="87" t="s">
        <v>48</v>
      </c>
      <c r="B81" s="23" t="str">
        <f>VLOOKUP(A81,Table6[[#All],[Player]:[Team]],2,0)</f>
        <v>Matt</v>
      </c>
      <c r="C81" s="23">
        <f>VLOOKUP(Table1[[#This Row],[Player]],'Player Info'!A:C,3,0)</f>
        <v>16</v>
      </c>
      <c r="D81" s="23">
        <v>2</v>
      </c>
      <c r="E81" s="23">
        <f>VLOOKUP(Table1[[#This Row],[Player]],Table13[[Hole]:[Gross]],22,0)</f>
        <v>103</v>
      </c>
      <c r="F81" s="23">
        <f>IF(Table1[[#This Row],[Gross]]&gt;0,Table1[[#This Row],[Gross]]-72,0)</f>
        <v>31</v>
      </c>
      <c r="G81" s="23">
        <f>IF(Table1[[#This Row],[Gross]]&gt;0,Table1[[#This Row],[Gross]]-Table1[[#This Row],[Index]],0)</f>
        <v>87</v>
      </c>
      <c r="H81" s="23">
        <f>IF(Table1[[#This Row],[Net]]&gt;0,Table1[[#This Row],[Net]]-72,0)</f>
        <v>15</v>
      </c>
      <c r="I81" s="107">
        <f>VLOOKUP(Table1[[#This Row],[Player]],Table13[[Hole]:[Cup Points]],28,0)</f>
        <v>0</v>
      </c>
    </row>
    <row r="82" spans="1:9" ht="12.75" x14ac:dyDescent="0.2">
      <c r="A82" s="87" t="s">
        <v>48</v>
      </c>
      <c r="B82" s="23" t="str">
        <f>VLOOKUP(A82,Table6[[#All],[Player]:[Team]],2,0)</f>
        <v>Matt</v>
      </c>
      <c r="C82" s="23">
        <f>VLOOKUP(Table1[[#This Row],[Player]],'Player Info'!A:C,3,0)</f>
        <v>16</v>
      </c>
      <c r="D82" s="23">
        <v>3</v>
      </c>
      <c r="E82" s="23">
        <f>VLOOKUP(Table1[[#This Row],[Player]],Table111[[Hole]:[Gross]],22,0)</f>
        <v>97</v>
      </c>
      <c r="F82" s="23">
        <f>IF(Table1[[#This Row],[Gross]]&gt;0,Table1[[#This Row],[Gross]]-72,0)</f>
        <v>25</v>
      </c>
      <c r="G82" s="23">
        <f>IF(Table1[[#This Row],[Gross]]&gt;0,Table1[[#This Row],[Gross]]-Table1[[#This Row],[Index]],0)</f>
        <v>81</v>
      </c>
      <c r="H82" s="23">
        <f>IF(Table1[[#This Row],[Net]]&gt;0,Table1[[#This Row],[Net]]-72,0)</f>
        <v>9</v>
      </c>
      <c r="I82" s="107">
        <f>VLOOKUP(Table1[[#This Row],[Player]],Table111[[Hole]:[Cup Points]],28,0)</f>
        <v>2</v>
      </c>
    </row>
    <row r="83" spans="1:9" ht="12.75" x14ac:dyDescent="0.2">
      <c r="A83" s="87" t="s">
        <v>48</v>
      </c>
      <c r="B83" s="23" t="str">
        <f>VLOOKUP(A83,Table6[[#All],[Player]:[Team]],2,0)</f>
        <v>Matt</v>
      </c>
      <c r="C83" s="23">
        <f>VLOOKUP(Table1[[#This Row],[Player]],'Player Info'!A:C,3,0)</f>
        <v>16</v>
      </c>
      <c r="D83" s="23">
        <v>6</v>
      </c>
      <c r="E83" s="23">
        <f>VLOOKUP(Table1[[#This Row],[Player]],Table1412[[Hole]:[Gross]],22,0)</f>
        <v>99</v>
      </c>
      <c r="F83" s="23">
        <f>IF(Table1[[#This Row],[Gross]]&gt;0,Table1[[#This Row],[Gross]]-72,0)</f>
        <v>27</v>
      </c>
      <c r="G83" s="23">
        <f>IF(Table1[[#This Row],[Gross]]&gt;0,Table1[[#This Row],[Gross]]-Table1[[#This Row],[Index]],0)</f>
        <v>83</v>
      </c>
      <c r="H83" s="23">
        <f>IF(Table1[[#This Row],[Net]]&gt;0,Table1[[#This Row],[Net]]-72,0)</f>
        <v>11</v>
      </c>
      <c r="I83" s="107">
        <f>VLOOKUP(Table1[[#This Row],[Player]],Table1412[[Hole]:[Cup Points]],28,0)</f>
        <v>0</v>
      </c>
    </row>
    <row r="84" spans="1:9" ht="12.75" x14ac:dyDescent="0.2">
      <c r="A84" s="87" t="s">
        <v>48</v>
      </c>
      <c r="B84" s="23" t="str">
        <f>VLOOKUP(A84,Table6[[#All],[Player]:[Team]],2,0)</f>
        <v>Matt</v>
      </c>
      <c r="C84" s="23">
        <f>VLOOKUP(Table1[[#This Row],[Player]],'Player Info'!A:C,3,0)</f>
        <v>16</v>
      </c>
      <c r="D84" s="23">
        <v>7</v>
      </c>
      <c r="E84" s="23">
        <f>VLOOKUP(Table1[[#This Row],[Player]],Table14513[[Hole]:[Gross]],22,0)</f>
        <v>100</v>
      </c>
      <c r="F84" s="23">
        <f>IF(Table1[[#This Row],[Gross]]&gt;0,Table1[[#This Row],[Gross]]-72,0)</f>
        <v>28</v>
      </c>
      <c r="G84" s="23">
        <f>IF(Table1[[#This Row],[Gross]]&gt;0,Table1[[#This Row],[Gross]]-Table1[[#This Row],[Index]],0)</f>
        <v>84</v>
      </c>
      <c r="H84" s="23">
        <f>IF(Table1[[#This Row],[Net]]&gt;0,Table1[[#This Row],[Net]]-72,0)</f>
        <v>12</v>
      </c>
      <c r="I84" s="107">
        <f>VLOOKUP(Table1[[#This Row],[Player]],Table14513[[Hole]:[Cup Points]],28,0)</f>
        <v>0</v>
      </c>
    </row>
    <row r="85" spans="1:9" ht="12.75" x14ac:dyDescent="0.2">
      <c r="A85" s="87" t="s">
        <v>48</v>
      </c>
      <c r="B85" s="23" t="str">
        <f>VLOOKUP(A85,Table6[[#All],[Player]:[Team]],2,0)</f>
        <v>Matt</v>
      </c>
      <c r="C85" s="23">
        <f>VLOOKUP(Table1[[#This Row],[Player]],'Player Info'!A:C,3,0)</f>
        <v>16</v>
      </c>
      <c r="D85" s="23">
        <v>8</v>
      </c>
      <c r="E85" s="23">
        <f>VLOOKUP(Table1[[#This Row],[Player]],Table145814[[Player]:[Gross]],22,0)</f>
        <v>100</v>
      </c>
      <c r="F85" s="23">
        <f>IF(Table1[[#This Row],[Gross]]&gt;0,Table1[[#This Row],[Gross]]-72,0)</f>
        <v>28</v>
      </c>
      <c r="G85" s="23">
        <f>IF(Table1[[#This Row],[Gross]]&gt;0,Table1[[#This Row],[Gross]]-Table1[[#This Row],[Index]],0)</f>
        <v>84</v>
      </c>
      <c r="H85" s="23">
        <f>IF(Table1[[#This Row],[Net]]&gt;0,Table1[[#This Row],[Net]]-72,0)</f>
        <v>12</v>
      </c>
      <c r="I85" s="107">
        <v>0</v>
      </c>
    </row>
    <row r="86" spans="1:9" ht="12.75" x14ac:dyDescent="0.2">
      <c r="A86" s="87" t="s">
        <v>49</v>
      </c>
      <c r="B86" s="23" t="str">
        <f>VLOOKUP(A86,Table6[[#All],[Player]:[Team]],2,0)</f>
        <v>Matt</v>
      </c>
      <c r="C86" s="23">
        <f>VLOOKUP(Table1[[#This Row],[Player]],'Player Info'!A:C,3,0)</f>
        <v>3</v>
      </c>
      <c r="D86" s="23">
        <v>1</v>
      </c>
      <c r="E86" s="23">
        <f>VLOOKUP(Table1[[#This Row],[Player]],Table5[[Hole]:[Gross]],22,0)</f>
        <v>86</v>
      </c>
      <c r="F86" s="23">
        <f>IF(Table1[[#This Row],[Gross]]&gt;0,Table1[[#This Row],[Gross]]-72,0)</f>
        <v>14</v>
      </c>
      <c r="G86" s="23">
        <f>IF(Table1[[#This Row],[Gross]]&gt;0,Table1[[#This Row],[Gross]]-Table1[[#This Row],[Index]],0)</f>
        <v>83</v>
      </c>
      <c r="H86" s="23">
        <f>IF(Table1[[#This Row],[Net]]&gt;0,Table1[[#This Row],[Net]]-72,0)</f>
        <v>11</v>
      </c>
      <c r="I86" s="107">
        <v>0</v>
      </c>
    </row>
    <row r="87" spans="1:9" ht="12.75" x14ac:dyDescent="0.2">
      <c r="A87" s="87" t="s">
        <v>49</v>
      </c>
      <c r="B87" s="23" t="str">
        <f>VLOOKUP(A87,Table6[[#All],[Player]:[Team]],2,0)</f>
        <v>Matt</v>
      </c>
      <c r="C87" s="23">
        <f>VLOOKUP(Table1[[#This Row],[Player]],'Player Info'!A:C,3,0)</f>
        <v>3</v>
      </c>
      <c r="D87" s="23">
        <v>2</v>
      </c>
      <c r="E87" s="23">
        <f>VLOOKUP(Table1[[#This Row],[Player]],Table13[[Hole]:[Gross]],22,0)</f>
        <v>82</v>
      </c>
      <c r="F87" s="23">
        <f>IF(Table1[[#This Row],[Gross]]&gt;0,Table1[[#This Row],[Gross]]-72,0)</f>
        <v>10</v>
      </c>
      <c r="G87" s="23">
        <f>IF(Table1[[#This Row],[Gross]]&gt;0,Table1[[#This Row],[Gross]]-Table1[[#This Row],[Index]],0)</f>
        <v>79</v>
      </c>
      <c r="H87" s="23">
        <f>IF(Table1[[#This Row],[Net]]&gt;0,Table1[[#This Row],[Net]]-72,0)</f>
        <v>7</v>
      </c>
      <c r="I87" s="107">
        <f>VLOOKUP(Table1[[#This Row],[Player]],Table13[[Hole]:[Cup Points]],28,0)</f>
        <v>2</v>
      </c>
    </row>
    <row r="88" spans="1:9" ht="12.75" x14ac:dyDescent="0.2">
      <c r="A88" s="87" t="s">
        <v>49</v>
      </c>
      <c r="B88" s="23" t="str">
        <f>VLOOKUP(A88,Table6[[#All],[Player]:[Team]],2,0)</f>
        <v>Matt</v>
      </c>
      <c r="C88" s="23">
        <f>VLOOKUP(Table1[[#This Row],[Player]],'Player Info'!A:C,3,0)</f>
        <v>3</v>
      </c>
      <c r="D88" s="23">
        <v>3</v>
      </c>
      <c r="E88" s="23">
        <f>VLOOKUP(Table1[[#This Row],[Player]],Table111[[Hole]:[Gross]],22,0)</f>
        <v>87</v>
      </c>
      <c r="F88" s="23">
        <f>IF(Table1[[#This Row],[Gross]]&gt;0,Table1[[#This Row],[Gross]]-72,0)</f>
        <v>15</v>
      </c>
      <c r="G88" s="23">
        <f>IF(Table1[[#This Row],[Gross]]&gt;0,Table1[[#This Row],[Gross]]-Table1[[#This Row],[Index]],0)</f>
        <v>84</v>
      </c>
      <c r="H88" s="23">
        <f>IF(Table1[[#This Row],[Net]]&gt;0,Table1[[#This Row],[Net]]-72,0)</f>
        <v>12</v>
      </c>
      <c r="I88" s="107">
        <f>VLOOKUP(Table1[[#This Row],[Player]],Table111[[Hole]:[Cup Points]],28,0)</f>
        <v>0</v>
      </c>
    </row>
    <row r="89" spans="1:9" ht="12.75" x14ac:dyDescent="0.2">
      <c r="A89" s="87" t="s">
        <v>49</v>
      </c>
      <c r="B89" s="23" t="str">
        <f>VLOOKUP(A89,Table6[[#All],[Player]:[Team]],2,0)</f>
        <v>Matt</v>
      </c>
      <c r="C89" s="23">
        <f>VLOOKUP(Table1[[#This Row],[Player]],'Player Info'!A:C,3,0)</f>
        <v>3</v>
      </c>
      <c r="D89" s="23">
        <v>6</v>
      </c>
      <c r="E89" s="23">
        <f>VLOOKUP(Table1[[#This Row],[Player]],Table1412[[Hole]:[Gross]],22,0)</f>
        <v>82</v>
      </c>
      <c r="F89" s="23">
        <f>IF(Table1[[#This Row],[Gross]]&gt;0,Table1[[#This Row],[Gross]]-72,0)</f>
        <v>10</v>
      </c>
      <c r="G89" s="23">
        <f>IF(Table1[[#This Row],[Gross]]&gt;0,Table1[[#This Row],[Gross]]-Table1[[#This Row],[Index]],0)</f>
        <v>79</v>
      </c>
      <c r="H89" s="23">
        <f>IF(Table1[[#This Row],[Net]]&gt;0,Table1[[#This Row],[Net]]-72,0)</f>
        <v>7</v>
      </c>
      <c r="I89" s="107">
        <f>VLOOKUP(Table1[[#This Row],[Player]],Table1412[[Hole]:[Cup Points]],28,0)</f>
        <v>1</v>
      </c>
    </row>
    <row r="90" spans="1:9" ht="12.75" x14ac:dyDescent="0.2">
      <c r="A90" s="87" t="s">
        <v>49</v>
      </c>
      <c r="B90" s="23" t="str">
        <f>VLOOKUP(A90,Table6[[#All],[Player]:[Team]],2,0)</f>
        <v>Matt</v>
      </c>
      <c r="C90" s="23">
        <f>VLOOKUP(Table1[[#This Row],[Player]],'Player Info'!A:C,3,0)</f>
        <v>3</v>
      </c>
      <c r="D90" s="23">
        <v>7</v>
      </c>
      <c r="E90" s="23">
        <f>VLOOKUP(Table1[[#This Row],[Player]],Table14513[[Hole]:[Gross]],22,0)</f>
        <v>85</v>
      </c>
      <c r="F90" s="23">
        <f>IF(Table1[[#This Row],[Gross]]&gt;0,Table1[[#This Row],[Gross]]-72,0)</f>
        <v>13</v>
      </c>
      <c r="G90" s="23">
        <f>IF(Table1[[#This Row],[Gross]]&gt;0,Table1[[#This Row],[Gross]]-Table1[[#This Row],[Index]],0)</f>
        <v>82</v>
      </c>
      <c r="H90" s="23">
        <f>IF(Table1[[#This Row],[Net]]&gt;0,Table1[[#This Row],[Net]]-72,0)</f>
        <v>10</v>
      </c>
      <c r="I90" s="107">
        <f>VLOOKUP(Table1[[#This Row],[Player]],Table14513[[Hole]:[Cup Points]],28,0)</f>
        <v>0</v>
      </c>
    </row>
    <row r="91" spans="1:9" ht="12.75" x14ac:dyDescent="0.2">
      <c r="A91" s="87" t="s">
        <v>49</v>
      </c>
      <c r="B91" s="23" t="str">
        <f>VLOOKUP(A91,Table6[[#All],[Player]:[Team]],2,0)</f>
        <v>Matt</v>
      </c>
      <c r="C91" s="23">
        <f>VLOOKUP(Table1[[#This Row],[Player]],'Player Info'!A:C,3,0)</f>
        <v>3</v>
      </c>
      <c r="D91" s="23">
        <v>8</v>
      </c>
      <c r="E91" s="23">
        <f>VLOOKUP(Table1[[#This Row],[Player]],Table145814[[Player]:[Gross]],22,0)</f>
        <v>81</v>
      </c>
      <c r="F91" s="23">
        <f>IF(Table1[[#This Row],[Gross]]&gt;0,Table1[[#This Row],[Gross]]-72,0)</f>
        <v>9</v>
      </c>
      <c r="G91" s="23">
        <f>IF(Table1[[#This Row],[Gross]]&gt;0,Table1[[#This Row],[Gross]]-Table1[[#This Row],[Index]],0)</f>
        <v>78</v>
      </c>
      <c r="H91" s="23">
        <f>IF(Table1[[#This Row],[Net]]&gt;0,Table1[[#This Row],[Net]]-72,0)</f>
        <v>6</v>
      </c>
      <c r="I91" s="107">
        <v>0</v>
      </c>
    </row>
    <row r="92" spans="1:9" ht="12.75" x14ac:dyDescent="0.2">
      <c r="A92" s="87" t="s">
        <v>51</v>
      </c>
      <c r="B92" s="23" t="str">
        <f>VLOOKUP(A92,Table6[[#All],[Player]:[Team]],2,0)</f>
        <v>Eric</v>
      </c>
      <c r="C92" s="23">
        <f>VLOOKUP(Table1[[#This Row],[Player]],'Player Info'!A:C,3,0)</f>
        <v>14</v>
      </c>
      <c r="D92" s="23">
        <v>1</v>
      </c>
      <c r="E92" s="23">
        <f>VLOOKUP(Table1[[#This Row],[Player]],Table5[[Hole]:[Gross]],22,0)</f>
        <v>99</v>
      </c>
      <c r="F92" s="23">
        <f>IF(Table1[[#This Row],[Gross]]&gt;0,Table1[[#This Row],[Gross]]-72,0)</f>
        <v>27</v>
      </c>
      <c r="G92" s="23">
        <f>IF(Table1[[#This Row],[Gross]]&gt;0,Table1[[#This Row],[Gross]]-Table1[[#This Row],[Index]],0)</f>
        <v>85</v>
      </c>
      <c r="H92" s="23">
        <f>IF(Table1[[#This Row],[Net]]&gt;0,Table1[[#This Row],[Net]]-72,0)</f>
        <v>13</v>
      </c>
      <c r="I92" s="107">
        <v>0</v>
      </c>
    </row>
    <row r="93" spans="1:9" ht="12.75" x14ac:dyDescent="0.2">
      <c r="A93" s="87" t="s">
        <v>51</v>
      </c>
      <c r="B93" s="23" t="str">
        <f>VLOOKUP(A93,Table6[[#All],[Player]:[Team]],2,0)</f>
        <v>Eric</v>
      </c>
      <c r="C93" s="23">
        <f>VLOOKUP(Table1[[#This Row],[Player]],'Player Info'!A:C,3,0)</f>
        <v>14</v>
      </c>
      <c r="D93" s="23">
        <v>2</v>
      </c>
      <c r="E93" s="23">
        <f>VLOOKUP(Table1[[#This Row],[Player]],Table13[[Hole]:[Gross]],22,0)</f>
        <v>92</v>
      </c>
      <c r="F93" s="23">
        <f>IF(Table1[[#This Row],[Gross]]&gt;0,Table1[[#This Row],[Gross]]-72,0)</f>
        <v>20</v>
      </c>
      <c r="G93" s="23">
        <f>IF(Table1[[#This Row],[Gross]]&gt;0,Table1[[#This Row],[Gross]]-Table1[[#This Row],[Index]],0)</f>
        <v>78</v>
      </c>
      <c r="H93" s="23">
        <f>IF(Table1[[#This Row],[Net]]&gt;0,Table1[[#This Row],[Net]]-72,0)</f>
        <v>6</v>
      </c>
      <c r="I93" s="107">
        <f>VLOOKUP(Table1[[#This Row],[Player]],Table13[[Hole]:[Cup Points]],28,0)</f>
        <v>2</v>
      </c>
    </row>
    <row r="94" spans="1:9" ht="12.75" x14ac:dyDescent="0.2">
      <c r="A94" s="87" t="s">
        <v>51</v>
      </c>
      <c r="B94" s="23" t="str">
        <f>VLOOKUP(A94,Table6[[#All],[Player]:[Team]],2,0)</f>
        <v>Eric</v>
      </c>
      <c r="C94" s="23">
        <f>VLOOKUP(Table1[[#This Row],[Player]],'Player Info'!A:C,3,0)</f>
        <v>14</v>
      </c>
      <c r="D94" s="23">
        <v>3</v>
      </c>
      <c r="E94" s="23">
        <f>VLOOKUP(Table1[[#This Row],[Player]],Table111[[Hole]:[Gross]],22,0)</f>
        <v>100</v>
      </c>
      <c r="F94" s="23">
        <f>IF(Table1[[#This Row],[Gross]]&gt;0,Table1[[#This Row],[Gross]]-72,0)</f>
        <v>28</v>
      </c>
      <c r="G94" s="23">
        <f>IF(Table1[[#This Row],[Gross]]&gt;0,Table1[[#This Row],[Gross]]-Table1[[#This Row],[Index]],0)</f>
        <v>86</v>
      </c>
      <c r="H94" s="23">
        <f>IF(Table1[[#This Row],[Net]]&gt;0,Table1[[#This Row],[Net]]-72,0)</f>
        <v>14</v>
      </c>
      <c r="I94" s="107">
        <f>VLOOKUP(Table1[[#This Row],[Player]],Table111[[Hole]:[Cup Points]],28,0)</f>
        <v>2</v>
      </c>
    </row>
    <row r="95" spans="1:9" ht="12.75" x14ac:dyDescent="0.2">
      <c r="A95" s="87" t="s">
        <v>51</v>
      </c>
      <c r="B95" s="23" t="str">
        <f>VLOOKUP(A95,Table6[[#All],[Player]:[Team]],2,0)</f>
        <v>Eric</v>
      </c>
      <c r="C95" s="23">
        <f>VLOOKUP(Table1[[#This Row],[Player]],'Player Info'!A:C,3,0)</f>
        <v>14</v>
      </c>
      <c r="D95" s="23">
        <v>6</v>
      </c>
      <c r="E95" s="23">
        <f>VLOOKUP(Table1[[#This Row],[Player]],Table1412[[Hole]:[Gross]],22,0)</f>
        <v>94</v>
      </c>
      <c r="F95" s="23">
        <f>IF(Table1[[#This Row],[Gross]]&gt;0,Table1[[#This Row],[Gross]]-72,0)</f>
        <v>22</v>
      </c>
      <c r="G95" s="23">
        <f>IF(Table1[[#This Row],[Gross]]&gt;0,Table1[[#This Row],[Gross]]-Table1[[#This Row],[Index]],0)</f>
        <v>80</v>
      </c>
      <c r="H95" s="23">
        <f>IF(Table1[[#This Row],[Net]]&gt;0,Table1[[#This Row],[Net]]-72,0)</f>
        <v>8</v>
      </c>
      <c r="I95" s="107">
        <f>VLOOKUP(Table1[[#This Row],[Player]],Table1412[[Hole]:[Cup Points]],28,0)</f>
        <v>1</v>
      </c>
    </row>
    <row r="96" spans="1:9" ht="12.75" x14ac:dyDescent="0.2">
      <c r="A96" s="87" t="s">
        <v>51</v>
      </c>
      <c r="B96" s="23" t="str">
        <f>VLOOKUP(A96,Table6[[#All],[Player]:[Team]],2,0)</f>
        <v>Eric</v>
      </c>
      <c r="C96" s="23">
        <f>VLOOKUP(Table1[[#This Row],[Player]],'Player Info'!A:C,3,0)</f>
        <v>14</v>
      </c>
      <c r="D96" s="23">
        <v>7</v>
      </c>
      <c r="E96" s="23">
        <f>VLOOKUP(Table1[[#This Row],[Player]],Table14513[[Hole]:[Gross]],22,0)</f>
        <v>107</v>
      </c>
      <c r="F96" s="23">
        <f>IF(Table1[[#This Row],[Gross]]&gt;0,Table1[[#This Row],[Gross]]-72,0)</f>
        <v>35</v>
      </c>
      <c r="G96" s="23">
        <f>IF(Table1[[#This Row],[Gross]]&gt;0,Table1[[#This Row],[Gross]]-Table1[[#This Row],[Index]],0)</f>
        <v>93</v>
      </c>
      <c r="H96" s="23">
        <f>IF(Table1[[#This Row],[Net]]&gt;0,Table1[[#This Row],[Net]]-72,0)</f>
        <v>21</v>
      </c>
      <c r="I96" s="107">
        <f>VLOOKUP(Table1[[#This Row],[Player]],Table14513[[Hole]:[Cup Points]],28,0)</f>
        <v>0</v>
      </c>
    </row>
    <row r="97" spans="1:9" ht="12.75" x14ac:dyDescent="0.2">
      <c r="A97" s="87" t="s">
        <v>51</v>
      </c>
      <c r="B97" s="23" t="str">
        <f>VLOOKUP(A97,Table6[[#All],[Player]:[Team]],2,0)</f>
        <v>Eric</v>
      </c>
      <c r="C97" s="23">
        <f>VLOOKUP(Table1[[#This Row],[Player]],'Player Info'!A:C,3,0)</f>
        <v>14</v>
      </c>
      <c r="D97" s="23">
        <v>8</v>
      </c>
      <c r="E97" s="23">
        <f>VLOOKUP(Table1[[#This Row],[Player]],Table145814[[Player]:[Gross]],22,0)</f>
        <v>106</v>
      </c>
      <c r="F97" s="23">
        <f>IF(Table1[[#This Row],[Gross]]&gt;0,Table1[[#This Row],[Gross]]-72,0)</f>
        <v>34</v>
      </c>
      <c r="G97" s="23">
        <f>IF(Table1[[#This Row],[Gross]]&gt;0,Table1[[#This Row],[Gross]]-Table1[[#This Row],[Index]],0)</f>
        <v>92</v>
      </c>
      <c r="H97" s="23">
        <f>IF(Table1[[#This Row],[Net]]&gt;0,Table1[[#This Row],[Net]]-72,0)</f>
        <v>20</v>
      </c>
      <c r="I97" s="107">
        <v>0</v>
      </c>
    </row>
  </sheetData>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05"/>
  <sheetViews>
    <sheetView zoomScale="80" zoomScaleNormal="80" workbookViewId="0">
      <selection activeCell="AG196" sqref="AG196"/>
    </sheetView>
  </sheetViews>
  <sheetFormatPr defaultColWidth="9.140625" defaultRowHeight="15" outlineLevelRow="1" x14ac:dyDescent="0.25"/>
  <cols>
    <col min="1" max="1" width="15.140625" style="4" customWidth="1"/>
    <col min="2" max="2" width="5.5703125" style="3" customWidth="1"/>
    <col min="3" max="14" width="5.28515625" style="3" customWidth="1"/>
    <col min="15" max="15" width="6.7109375" style="3" customWidth="1"/>
    <col min="16" max="19" width="5.28515625" style="3" customWidth="1"/>
    <col min="20" max="21" width="8.5703125" style="3" customWidth="1"/>
    <col min="22" max="22" width="7.85546875" style="3" customWidth="1"/>
    <col min="23" max="23" width="6.42578125" style="3" customWidth="1"/>
    <col min="24" max="24" width="6.7109375" style="3" customWidth="1"/>
    <col min="25" max="25" width="8.42578125" style="73" customWidth="1"/>
    <col min="26" max="26" width="7.5703125" style="3" customWidth="1"/>
    <col min="27" max="27" width="16.140625" style="4" customWidth="1"/>
    <col min="28" max="28" width="11.85546875" bestFit="1" customWidth="1"/>
    <col min="29" max="29" width="11.5703125" customWidth="1"/>
    <col min="30" max="30" width="10.85546875" style="4" customWidth="1"/>
    <col min="31" max="31" width="11.7109375" style="4" customWidth="1"/>
    <col min="32" max="32" width="13.28515625" style="3" bestFit="1" customWidth="1"/>
    <col min="33" max="33" width="14.140625" style="3" bestFit="1" customWidth="1"/>
    <col min="34" max="16384" width="9.140625" style="4"/>
  </cols>
  <sheetData>
    <row r="1" spans="1:33" x14ac:dyDescent="0.25">
      <c r="A1" s="78" t="s">
        <v>87</v>
      </c>
      <c r="B1" s="79"/>
      <c r="C1" s="79"/>
      <c r="D1" s="79"/>
      <c r="E1" s="79"/>
      <c r="F1" s="79"/>
      <c r="G1" s="79"/>
      <c r="H1" s="79"/>
      <c r="I1" s="79"/>
      <c r="J1" s="79"/>
      <c r="K1" s="79"/>
      <c r="L1" s="79"/>
      <c r="M1" s="79"/>
      <c r="N1" s="79"/>
      <c r="O1" s="79"/>
      <c r="P1" s="79"/>
      <c r="Q1" s="79"/>
      <c r="R1" s="79"/>
      <c r="S1" s="79"/>
      <c r="T1" s="79"/>
      <c r="U1" s="79"/>
      <c r="V1" s="79"/>
      <c r="W1" s="79"/>
      <c r="X1" s="79"/>
      <c r="Y1" s="80"/>
      <c r="Z1" s="79"/>
      <c r="AA1" s="78"/>
      <c r="AB1" s="81"/>
      <c r="AC1" s="81"/>
    </row>
    <row r="2" spans="1:33" ht="12.75" hidden="1" outlineLevel="1" x14ac:dyDescent="0.2">
      <c r="A2" s="1" t="s">
        <v>0</v>
      </c>
      <c r="B2" s="2" t="s">
        <v>10</v>
      </c>
      <c r="Y2" s="3"/>
      <c r="Z2" s="4"/>
      <c r="AB2" s="4"/>
      <c r="AC2" s="4"/>
      <c r="AF2" s="4"/>
      <c r="AG2" s="4"/>
    </row>
    <row r="3" spans="1:33" ht="12.75" hidden="1" outlineLevel="1" x14ac:dyDescent="0.2">
      <c r="A3" s="5" t="s">
        <v>2</v>
      </c>
      <c r="B3" s="6">
        <v>338</v>
      </c>
      <c r="C3" s="6">
        <v>564</v>
      </c>
      <c r="D3" s="6">
        <v>185</v>
      </c>
      <c r="E3" s="6">
        <v>414</v>
      </c>
      <c r="F3" s="6">
        <v>381</v>
      </c>
      <c r="G3" s="6">
        <v>170</v>
      </c>
      <c r="H3" s="6">
        <v>409</v>
      </c>
      <c r="I3" s="6">
        <v>373</v>
      </c>
      <c r="J3" s="6">
        <v>530</v>
      </c>
      <c r="K3" s="6">
        <v>336</v>
      </c>
      <c r="L3" s="6">
        <v>384</v>
      </c>
      <c r="M3" s="6">
        <v>368</v>
      </c>
      <c r="N3" s="6">
        <v>488</v>
      </c>
      <c r="O3" s="6">
        <v>389</v>
      </c>
      <c r="P3" s="6">
        <v>161</v>
      </c>
      <c r="Q3" s="6">
        <v>527</v>
      </c>
      <c r="R3" s="6">
        <v>147</v>
      </c>
      <c r="S3" s="6">
        <v>383</v>
      </c>
      <c r="T3" s="6">
        <f>SUM(B3:J3)</f>
        <v>3364</v>
      </c>
      <c r="U3" s="6">
        <f>SUM(K3:S3)</f>
        <v>3183</v>
      </c>
      <c r="V3" s="6">
        <f>SUM(T3:U3)</f>
        <v>6547</v>
      </c>
      <c r="W3" s="7"/>
      <c r="X3" s="7"/>
      <c r="Y3" s="7"/>
      <c r="Z3" s="4"/>
      <c r="AB3" s="4"/>
      <c r="AC3" s="4"/>
      <c r="AF3" s="4"/>
      <c r="AG3" s="4"/>
    </row>
    <row r="4" spans="1:33" ht="12.75" hidden="1" outlineLevel="1" x14ac:dyDescent="0.2">
      <c r="A4" s="8" t="s">
        <v>3</v>
      </c>
      <c r="B4" s="9">
        <v>8</v>
      </c>
      <c r="C4" s="9">
        <v>4</v>
      </c>
      <c r="D4" s="9">
        <v>16</v>
      </c>
      <c r="E4" s="9">
        <v>2</v>
      </c>
      <c r="F4" s="9">
        <v>10</v>
      </c>
      <c r="G4" s="9">
        <v>18</v>
      </c>
      <c r="H4" s="9">
        <v>6</v>
      </c>
      <c r="I4" s="9">
        <v>14</v>
      </c>
      <c r="J4" s="9">
        <v>12</v>
      </c>
      <c r="K4" s="9">
        <v>13</v>
      </c>
      <c r="L4" s="9">
        <v>1</v>
      </c>
      <c r="M4" s="9">
        <v>11</v>
      </c>
      <c r="N4" s="9">
        <v>7</v>
      </c>
      <c r="O4" s="9">
        <v>3</v>
      </c>
      <c r="P4" s="9">
        <v>15</v>
      </c>
      <c r="Q4" s="9">
        <v>5</v>
      </c>
      <c r="R4" s="9">
        <v>17</v>
      </c>
      <c r="S4" s="9">
        <v>9</v>
      </c>
      <c r="T4" s="9"/>
      <c r="U4" s="9"/>
      <c r="V4" s="9"/>
      <c r="W4" s="7"/>
      <c r="X4" s="7"/>
      <c r="Y4" s="7"/>
      <c r="Z4" s="4"/>
      <c r="AB4" s="4"/>
      <c r="AC4" s="4"/>
      <c r="AF4" s="4"/>
      <c r="AG4" s="4"/>
    </row>
    <row r="5" spans="1:33" ht="12.75" hidden="1" outlineLevel="1" x14ac:dyDescent="0.2">
      <c r="A5" s="10" t="s">
        <v>8</v>
      </c>
      <c r="B5" s="11">
        <v>4</v>
      </c>
      <c r="C5" s="11">
        <v>5</v>
      </c>
      <c r="D5" s="11">
        <v>3</v>
      </c>
      <c r="E5" s="11">
        <v>4</v>
      </c>
      <c r="F5" s="11">
        <v>4</v>
      </c>
      <c r="G5" s="11">
        <v>3</v>
      </c>
      <c r="H5" s="11">
        <v>4</v>
      </c>
      <c r="I5" s="11">
        <v>4</v>
      </c>
      <c r="J5" s="11">
        <v>5</v>
      </c>
      <c r="K5" s="11">
        <v>4</v>
      </c>
      <c r="L5" s="11">
        <v>4</v>
      </c>
      <c r="M5" s="11">
        <v>4</v>
      </c>
      <c r="N5" s="11">
        <v>5</v>
      </c>
      <c r="O5" s="11">
        <v>4</v>
      </c>
      <c r="P5" s="11">
        <v>3</v>
      </c>
      <c r="Q5" s="11">
        <v>5</v>
      </c>
      <c r="R5" s="11">
        <v>3</v>
      </c>
      <c r="S5" s="11">
        <v>4</v>
      </c>
      <c r="T5" s="11">
        <v>36</v>
      </c>
      <c r="U5" s="11">
        <v>36</v>
      </c>
      <c r="V5" s="11">
        <v>72</v>
      </c>
      <c r="W5" s="7"/>
      <c r="X5" s="7"/>
      <c r="Y5" s="7"/>
      <c r="Z5" s="4"/>
      <c r="AB5" s="4"/>
      <c r="AC5" s="4"/>
      <c r="AF5" s="4"/>
      <c r="AG5" s="4"/>
    </row>
    <row r="6" spans="1:33" ht="12.75" hidden="1" outlineLevel="1" x14ac:dyDescent="0.2">
      <c r="A6" s="18" t="s">
        <v>9</v>
      </c>
      <c r="B6" s="24" t="s">
        <v>19</v>
      </c>
      <c r="C6" s="24" t="s">
        <v>20</v>
      </c>
      <c r="D6" s="24" t="s">
        <v>18</v>
      </c>
      <c r="E6" s="24" t="s">
        <v>16</v>
      </c>
      <c r="F6" s="24" t="s">
        <v>17</v>
      </c>
      <c r="G6" s="24" t="s">
        <v>21</v>
      </c>
      <c r="H6" s="24" t="s">
        <v>22</v>
      </c>
      <c r="I6" s="24" t="s">
        <v>23</v>
      </c>
      <c r="J6" s="24" t="s">
        <v>24</v>
      </c>
      <c r="K6" s="24" t="s">
        <v>25</v>
      </c>
      <c r="L6" s="24" t="s">
        <v>26</v>
      </c>
      <c r="M6" s="24" t="s">
        <v>27</v>
      </c>
      <c r="N6" s="24" t="s">
        <v>28</v>
      </c>
      <c r="O6" s="24" t="s">
        <v>29</v>
      </c>
      <c r="P6" s="24" t="s">
        <v>30</v>
      </c>
      <c r="Q6" s="24" t="s">
        <v>31</v>
      </c>
      <c r="R6" s="24" t="s">
        <v>32</v>
      </c>
      <c r="S6" s="24" t="s">
        <v>33</v>
      </c>
      <c r="T6" s="24" t="s">
        <v>5</v>
      </c>
      <c r="U6" s="24" t="s">
        <v>4</v>
      </c>
      <c r="V6" s="24" t="s">
        <v>34</v>
      </c>
      <c r="W6" s="25" t="s">
        <v>7</v>
      </c>
      <c r="X6" s="25" t="s">
        <v>6</v>
      </c>
      <c r="Y6" s="25" t="s">
        <v>35</v>
      </c>
      <c r="Z6" s="25" t="s">
        <v>91</v>
      </c>
      <c r="AA6" s="24" t="s">
        <v>11</v>
      </c>
      <c r="AB6" s="4"/>
      <c r="AC6" s="4"/>
      <c r="AF6" s="4"/>
      <c r="AG6" s="4"/>
    </row>
    <row r="7" spans="1:33" ht="12.75" hidden="1" outlineLevel="1" x14ac:dyDescent="0.2">
      <c r="A7" s="19" t="s">
        <v>49</v>
      </c>
      <c r="B7" s="11">
        <v>4</v>
      </c>
      <c r="C7" s="11">
        <v>8</v>
      </c>
      <c r="D7" s="11">
        <v>3</v>
      </c>
      <c r="E7" s="11">
        <v>6</v>
      </c>
      <c r="F7" s="11">
        <v>5</v>
      </c>
      <c r="G7" s="11">
        <v>4</v>
      </c>
      <c r="H7" s="11">
        <v>5</v>
      </c>
      <c r="I7" s="11">
        <v>4</v>
      </c>
      <c r="J7" s="11">
        <v>6</v>
      </c>
      <c r="K7" s="11">
        <v>4</v>
      </c>
      <c r="L7" s="11">
        <v>6</v>
      </c>
      <c r="M7" s="11">
        <v>4</v>
      </c>
      <c r="N7" s="11">
        <v>5</v>
      </c>
      <c r="O7" s="11">
        <v>4</v>
      </c>
      <c r="P7" s="11">
        <v>5</v>
      </c>
      <c r="Q7" s="11">
        <v>6</v>
      </c>
      <c r="R7" s="11">
        <v>3</v>
      </c>
      <c r="S7" s="11">
        <v>4</v>
      </c>
      <c r="T7" s="7">
        <f>SUM(Table5[[#This Row],[1]:[9]])</f>
        <v>45</v>
      </c>
      <c r="U7" s="7">
        <f>SUM(Table5[[#This Row],[10]:[18]])</f>
        <v>41</v>
      </c>
      <c r="V7" s="7">
        <f>SUM(Table5[[#This Row],[Out]:[In]])</f>
        <v>86</v>
      </c>
      <c r="W7" s="20">
        <f>IF(Table5[[#This Row],[Gross]]&gt;0,Table5[[#This Row],[Gross]]-Table5[[#This Row],[HCP]],0)</f>
        <v>83</v>
      </c>
      <c r="X7" s="70">
        <f>VLOOKUP(Table5[[#This Row],[Hole]],'Player Info'!A:C,3,0)</f>
        <v>3</v>
      </c>
      <c r="Y7" s="70" t="s">
        <v>78</v>
      </c>
      <c r="Z7" s="70">
        <v>0</v>
      </c>
      <c r="AA7" s="11" t="s">
        <v>53</v>
      </c>
      <c r="AB7" s="4"/>
      <c r="AC7" s="4"/>
      <c r="AF7" s="4"/>
      <c r="AG7" s="4"/>
    </row>
    <row r="8" spans="1:33" ht="12.75" hidden="1" outlineLevel="1" x14ac:dyDescent="0.2">
      <c r="A8" s="19" t="s">
        <v>45</v>
      </c>
      <c r="B8" s="11">
        <v>5</v>
      </c>
      <c r="C8" s="11">
        <v>7</v>
      </c>
      <c r="D8" s="11">
        <v>3</v>
      </c>
      <c r="E8" s="85">
        <v>4</v>
      </c>
      <c r="F8" s="11">
        <v>4</v>
      </c>
      <c r="G8" s="11">
        <v>5</v>
      </c>
      <c r="H8" s="11">
        <v>6</v>
      </c>
      <c r="I8" s="11">
        <v>3</v>
      </c>
      <c r="J8" s="11">
        <v>6</v>
      </c>
      <c r="K8" s="11">
        <v>6</v>
      </c>
      <c r="L8" s="85">
        <v>6</v>
      </c>
      <c r="M8" s="11">
        <v>4</v>
      </c>
      <c r="N8" s="11">
        <v>5</v>
      </c>
      <c r="O8" s="85">
        <v>4</v>
      </c>
      <c r="P8" s="11">
        <v>3</v>
      </c>
      <c r="Q8" s="11">
        <v>6</v>
      </c>
      <c r="R8" s="11">
        <v>4</v>
      </c>
      <c r="S8" s="11">
        <v>5</v>
      </c>
      <c r="T8" s="7">
        <f>SUM(Table5[[#This Row],[1]:[9]])</f>
        <v>43</v>
      </c>
      <c r="U8" s="7">
        <f>SUM(Table5[[#This Row],[10]:[18]])</f>
        <v>43</v>
      </c>
      <c r="V8" s="7">
        <f>SUM(Table5[[#This Row],[Out]:[In]])</f>
        <v>86</v>
      </c>
      <c r="W8" s="20">
        <f>IF(Table5[[#This Row],[Gross]]&gt;0,Table5[[#This Row],[Gross]]-Table5[[#This Row],[HCP]],0)</f>
        <v>80</v>
      </c>
      <c r="X8" s="70">
        <f>VLOOKUP(Table5[[#This Row],[Hole]],'Player Info'!A:C,3,0)</f>
        <v>6</v>
      </c>
      <c r="Y8" s="70" t="s">
        <v>78</v>
      </c>
      <c r="Z8" s="70">
        <v>3</v>
      </c>
      <c r="AA8" s="11" t="s">
        <v>53</v>
      </c>
      <c r="AB8" s="4"/>
      <c r="AC8" s="4"/>
      <c r="AF8" s="4"/>
      <c r="AG8" s="4"/>
    </row>
    <row r="9" spans="1:33" ht="12.75" hidden="1" outlineLevel="1" x14ac:dyDescent="0.2">
      <c r="A9" s="19" t="s">
        <v>52</v>
      </c>
      <c r="B9" s="85">
        <v>6</v>
      </c>
      <c r="C9" s="85">
        <v>6</v>
      </c>
      <c r="D9" s="11">
        <v>4</v>
      </c>
      <c r="E9" s="85">
        <v>4</v>
      </c>
      <c r="F9" s="85">
        <v>5</v>
      </c>
      <c r="G9" s="11">
        <v>4</v>
      </c>
      <c r="H9" s="85">
        <v>7</v>
      </c>
      <c r="I9" s="11">
        <v>6</v>
      </c>
      <c r="J9" s="85">
        <v>7</v>
      </c>
      <c r="K9" s="85">
        <v>5</v>
      </c>
      <c r="L9" s="85">
        <v>5</v>
      </c>
      <c r="M9" s="85">
        <v>5</v>
      </c>
      <c r="N9" s="85">
        <v>6</v>
      </c>
      <c r="O9" s="85">
        <v>6</v>
      </c>
      <c r="P9" s="11">
        <v>4</v>
      </c>
      <c r="Q9" s="85">
        <v>7</v>
      </c>
      <c r="R9" s="11">
        <v>4</v>
      </c>
      <c r="S9" s="85">
        <v>7</v>
      </c>
      <c r="T9" s="7">
        <f>SUM(Table5[[#This Row],[1]:[9]])</f>
        <v>49</v>
      </c>
      <c r="U9" s="7">
        <f>SUM(Table5[[#This Row],[10]:[18]])</f>
        <v>49</v>
      </c>
      <c r="V9" s="7">
        <f>SUM(Table5[[#This Row],[Out]:[In]])</f>
        <v>98</v>
      </c>
      <c r="W9" s="20">
        <f>IF(Table5[[#This Row],[Gross]]&gt;0,Table5[[#This Row],[Gross]]-Table5[[#This Row],[HCP]],0)</f>
        <v>82</v>
      </c>
      <c r="X9" s="70">
        <f>VLOOKUP(Table5[[#This Row],[Hole]],'Player Info'!A:C,3,0)</f>
        <v>16</v>
      </c>
      <c r="Y9" s="70" t="s">
        <v>78</v>
      </c>
      <c r="Z9" s="70">
        <v>13</v>
      </c>
      <c r="AA9" s="11" t="s">
        <v>53</v>
      </c>
      <c r="AB9" s="4"/>
      <c r="AC9" s="4"/>
      <c r="AF9" s="4"/>
      <c r="AG9" s="4"/>
    </row>
    <row r="10" spans="1:33" ht="12.75" hidden="1" outlineLevel="1" x14ac:dyDescent="0.2">
      <c r="A10" s="19" t="s">
        <v>48</v>
      </c>
      <c r="B10" s="85">
        <v>4</v>
      </c>
      <c r="C10" s="85">
        <v>9</v>
      </c>
      <c r="D10" s="11">
        <v>5</v>
      </c>
      <c r="E10" s="85">
        <v>4</v>
      </c>
      <c r="F10" s="85">
        <v>5</v>
      </c>
      <c r="G10" s="11">
        <v>3</v>
      </c>
      <c r="H10" s="85">
        <v>6</v>
      </c>
      <c r="I10" s="11">
        <v>6</v>
      </c>
      <c r="J10" s="85">
        <v>5</v>
      </c>
      <c r="K10" s="85">
        <v>5</v>
      </c>
      <c r="L10" s="85">
        <v>6</v>
      </c>
      <c r="M10" s="85">
        <v>6</v>
      </c>
      <c r="N10" s="85">
        <v>5</v>
      </c>
      <c r="O10" s="85">
        <v>5</v>
      </c>
      <c r="P10" s="11">
        <v>4</v>
      </c>
      <c r="Q10" s="85">
        <v>7</v>
      </c>
      <c r="R10" s="11">
        <v>4</v>
      </c>
      <c r="S10" s="85">
        <v>8</v>
      </c>
      <c r="T10" s="7">
        <f>SUM(Table5[[#This Row],[1]:[9]])</f>
        <v>47</v>
      </c>
      <c r="U10" s="7">
        <f>SUM(Table5[[#This Row],[10]:[18]])</f>
        <v>50</v>
      </c>
      <c r="V10" s="7">
        <f>SUM(Table5[[#This Row],[Out]:[In]])</f>
        <v>97</v>
      </c>
      <c r="W10" s="20">
        <f>IF(Table5[[#This Row],[Gross]]&gt;0,Table5[[#This Row],[Gross]]-Table5[[#This Row],[HCP]],0)</f>
        <v>81</v>
      </c>
      <c r="X10" s="70">
        <f>VLOOKUP(Table5[[#This Row],[Hole]],'Player Info'!A:C,3,0)</f>
        <v>16</v>
      </c>
      <c r="Y10" s="70" t="s">
        <v>78</v>
      </c>
      <c r="Z10" s="70">
        <v>13</v>
      </c>
      <c r="AA10" s="11" t="s">
        <v>53</v>
      </c>
      <c r="AB10" s="4"/>
      <c r="AC10" s="4"/>
      <c r="AF10" s="4"/>
      <c r="AG10" s="4"/>
    </row>
    <row r="11" spans="1:33" ht="12.75" hidden="1" outlineLevel="1" x14ac:dyDescent="0.2">
      <c r="A11" s="19" t="s">
        <v>36</v>
      </c>
      <c r="B11" s="11">
        <v>6</v>
      </c>
      <c r="C11" s="11">
        <v>7</v>
      </c>
      <c r="D11" s="11">
        <v>4</v>
      </c>
      <c r="E11" s="11">
        <v>6</v>
      </c>
      <c r="F11" s="11">
        <v>4</v>
      </c>
      <c r="G11" s="11">
        <v>4</v>
      </c>
      <c r="H11" s="11">
        <v>7</v>
      </c>
      <c r="I11" s="11">
        <v>6</v>
      </c>
      <c r="J11" s="11">
        <v>5</v>
      </c>
      <c r="K11" s="11">
        <v>5</v>
      </c>
      <c r="L11" s="11">
        <v>6</v>
      </c>
      <c r="M11" s="11">
        <v>5</v>
      </c>
      <c r="N11" s="11">
        <v>4</v>
      </c>
      <c r="O11" s="11">
        <v>6</v>
      </c>
      <c r="P11" s="11">
        <v>4</v>
      </c>
      <c r="Q11" s="11">
        <v>6</v>
      </c>
      <c r="R11" s="11">
        <v>3</v>
      </c>
      <c r="S11" s="11">
        <v>5</v>
      </c>
      <c r="T11" s="7">
        <f>SUM(Table5[[#This Row],[1]:[9]])</f>
        <v>49</v>
      </c>
      <c r="U11" s="7">
        <f>SUM(Table5[[#This Row],[10]:[18]])</f>
        <v>44</v>
      </c>
      <c r="V11" s="7">
        <f>SUM(Table5[[#This Row],[Out]:[In]])</f>
        <v>93</v>
      </c>
      <c r="W11" s="20">
        <f>IF(Table5[[#This Row],[Gross]]&gt;0,Table5[[#This Row],[Gross]]-Table5[[#This Row],[HCP]],0)</f>
        <v>87</v>
      </c>
      <c r="X11" s="70">
        <f>VLOOKUP(Table5[[#This Row],[Hole]],'Player Info'!A:C,3,0)</f>
        <v>6</v>
      </c>
      <c r="Y11" s="70" t="s">
        <v>79</v>
      </c>
      <c r="Z11" s="70">
        <v>0</v>
      </c>
      <c r="AA11" s="11" t="s">
        <v>13</v>
      </c>
      <c r="AB11" s="4"/>
      <c r="AC11" s="4"/>
      <c r="AF11" s="4"/>
      <c r="AG11" s="4"/>
    </row>
    <row r="12" spans="1:33" ht="12.75" hidden="1" outlineLevel="1" x14ac:dyDescent="0.2">
      <c r="A12" s="19" t="s">
        <v>37</v>
      </c>
      <c r="B12" s="11">
        <v>5</v>
      </c>
      <c r="C12" s="85">
        <v>6</v>
      </c>
      <c r="D12" s="11">
        <v>5</v>
      </c>
      <c r="E12" s="85">
        <v>7</v>
      </c>
      <c r="F12" s="11">
        <v>5</v>
      </c>
      <c r="G12" s="11">
        <v>6</v>
      </c>
      <c r="H12" s="11">
        <v>5</v>
      </c>
      <c r="I12" s="11">
        <v>4</v>
      </c>
      <c r="J12" s="11">
        <v>5</v>
      </c>
      <c r="K12" s="11">
        <v>4</v>
      </c>
      <c r="L12" s="85">
        <v>6</v>
      </c>
      <c r="M12" s="11">
        <v>5</v>
      </c>
      <c r="N12" s="11">
        <v>5</v>
      </c>
      <c r="O12" s="85">
        <v>5</v>
      </c>
      <c r="P12" s="11">
        <v>5</v>
      </c>
      <c r="Q12" s="11">
        <v>5</v>
      </c>
      <c r="R12" s="11">
        <v>4</v>
      </c>
      <c r="S12" s="11">
        <v>5</v>
      </c>
      <c r="T12" s="7">
        <f>SUM(Table5[[#This Row],[1]:[9]])</f>
        <v>48</v>
      </c>
      <c r="U12" s="7">
        <f>SUM(Table5[[#This Row],[10]:[18]])</f>
        <v>44</v>
      </c>
      <c r="V12" s="7">
        <f>SUM(Table5[[#This Row],[Out]:[In]])</f>
        <v>92</v>
      </c>
      <c r="W12" s="20">
        <f>IF(Table5[[#This Row],[Gross]]&gt;0,Table5[[#This Row],[Gross]]-Table5[[#This Row],[HCP]],0)</f>
        <v>83</v>
      </c>
      <c r="X12" s="70">
        <f>VLOOKUP(Table5[[#This Row],[Hole]],'Player Info'!A:C,3,0)</f>
        <v>9</v>
      </c>
      <c r="Y12" s="70" t="s">
        <v>79</v>
      </c>
      <c r="Z12" s="70">
        <v>3</v>
      </c>
      <c r="AA12" s="11" t="s">
        <v>13</v>
      </c>
      <c r="AB12" s="4"/>
      <c r="AC12" s="4"/>
      <c r="AF12" s="4"/>
      <c r="AG12" s="4"/>
    </row>
    <row r="13" spans="1:33" ht="12.75" hidden="1" outlineLevel="1" x14ac:dyDescent="0.2">
      <c r="A13" s="19" t="s">
        <v>47</v>
      </c>
      <c r="B13" s="11">
        <v>4</v>
      </c>
      <c r="C13" s="85">
        <v>7</v>
      </c>
      <c r="D13" s="11">
        <v>3</v>
      </c>
      <c r="E13" s="85">
        <v>5</v>
      </c>
      <c r="F13" s="11">
        <v>3</v>
      </c>
      <c r="G13" s="11">
        <v>4</v>
      </c>
      <c r="H13" s="11">
        <v>6</v>
      </c>
      <c r="I13" s="11">
        <v>5</v>
      </c>
      <c r="J13" s="11">
        <v>7</v>
      </c>
      <c r="K13" s="11">
        <v>4</v>
      </c>
      <c r="L13" s="85">
        <v>6</v>
      </c>
      <c r="M13" s="11">
        <v>7</v>
      </c>
      <c r="N13" s="11">
        <v>6</v>
      </c>
      <c r="O13" s="85">
        <v>7</v>
      </c>
      <c r="P13" s="11">
        <v>3</v>
      </c>
      <c r="Q13" s="11">
        <v>5</v>
      </c>
      <c r="R13" s="11">
        <v>4</v>
      </c>
      <c r="S13" s="11">
        <v>3</v>
      </c>
      <c r="T13" s="7">
        <f>SUM(Table5[[#This Row],[1]:[9]])</f>
        <v>44</v>
      </c>
      <c r="U13" s="7">
        <f>SUM(Table5[[#This Row],[10]:[18]])</f>
        <v>45</v>
      </c>
      <c r="V13" s="7">
        <f>SUM(Table5[[#This Row],[Out]:[In]])</f>
        <v>89</v>
      </c>
      <c r="W13" s="20">
        <f>IF(Table5[[#This Row],[Gross]]&gt;0,Table5[[#This Row],[Gross]]-Table5[[#This Row],[HCP]],0)</f>
        <v>79</v>
      </c>
      <c r="X13" s="70">
        <f>VLOOKUP(Table5[[#This Row],[Hole]],'Player Info'!A:C,3,0)</f>
        <v>10</v>
      </c>
      <c r="Y13" s="70" t="s">
        <v>79</v>
      </c>
      <c r="Z13" s="70">
        <v>4</v>
      </c>
      <c r="AA13" s="11" t="s">
        <v>13</v>
      </c>
      <c r="AB13" s="4"/>
      <c r="AC13" s="4"/>
      <c r="AF13" s="4"/>
      <c r="AG13" s="4"/>
    </row>
    <row r="14" spans="1:33" ht="12.75" hidden="1" outlineLevel="1" x14ac:dyDescent="0.2">
      <c r="A14" s="19" t="s">
        <v>54</v>
      </c>
      <c r="B14" s="85">
        <v>5</v>
      </c>
      <c r="C14" s="85">
        <v>6</v>
      </c>
      <c r="D14" s="11">
        <v>2</v>
      </c>
      <c r="E14" s="85">
        <v>4</v>
      </c>
      <c r="F14" s="11">
        <v>5</v>
      </c>
      <c r="G14" s="11">
        <v>4</v>
      </c>
      <c r="H14" s="85">
        <v>4</v>
      </c>
      <c r="I14" s="11">
        <v>5</v>
      </c>
      <c r="J14" s="11">
        <v>6</v>
      </c>
      <c r="K14" s="11">
        <v>4</v>
      </c>
      <c r="L14" s="85">
        <v>4</v>
      </c>
      <c r="M14" s="11">
        <v>6</v>
      </c>
      <c r="N14" s="85">
        <v>10</v>
      </c>
      <c r="O14" s="85">
        <v>5</v>
      </c>
      <c r="P14" s="11">
        <v>3</v>
      </c>
      <c r="Q14" s="85">
        <v>10</v>
      </c>
      <c r="R14" s="11">
        <v>6</v>
      </c>
      <c r="S14" s="85">
        <v>6</v>
      </c>
      <c r="T14" s="7">
        <f>SUM(Table5[[#This Row],[1]:[9]])</f>
        <v>41</v>
      </c>
      <c r="U14" s="7">
        <f>SUM(Table5[[#This Row],[10]:[18]])</f>
        <v>54</v>
      </c>
      <c r="V14" s="7">
        <f>SUM(Table5[[#This Row],[Out]:[In]])</f>
        <v>95</v>
      </c>
      <c r="W14" s="20">
        <f>IF(Table5[[#This Row],[Gross]]&gt;0,Table5[[#This Row],[Gross]]-Table5[[#This Row],[HCP]],0)</f>
        <v>80</v>
      </c>
      <c r="X14" s="70">
        <f>VLOOKUP(Table5[[#This Row],[Hole]],'Player Info'!A:C,3,0)</f>
        <v>15</v>
      </c>
      <c r="Y14" s="70" t="s">
        <v>79</v>
      </c>
      <c r="Z14" s="70">
        <v>9</v>
      </c>
      <c r="AA14" s="11" t="s">
        <v>13</v>
      </c>
      <c r="AB14" s="4"/>
      <c r="AC14" s="4"/>
      <c r="AF14" s="4"/>
      <c r="AG14" s="4"/>
    </row>
    <row r="15" spans="1:33" ht="12.75" hidden="1" outlineLevel="1" x14ac:dyDescent="0.2">
      <c r="A15" s="19" t="s">
        <v>14</v>
      </c>
      <c r="B15" s="11">
        <v>4</v>
      </c>
      <c r="C15" s="11">
        <v>5</v>
      </c>
      <c r="D15" s="11">
        <v>3</v>
      </c>
      <c r="E15" s="11">
        <v>7</v>
      </c>
      <c r="F15" s="11">
        <v>6</v>
      </c>
      <c r="G15" s="11">
        <v>3</v>
      </c>
      <c r="H15" s="11">
        <v>5</v>
      </c>
      <c r="I15" s="11">
        <v>5</v>
      </c>
      <c r="J15" s="11">
        <v>6</v>
      </c>
      <c r="K15" s="11">
        <v>4</v>
      </c>
      <c r="L15" s="11">
        <v>6</v>
      </c>
      <c r="M15" s="11">
        <v>4</v>
      </c>
      <c r="N15" s="11">
        <v>5</v>
      </c>
      <c r="O15" s="11">
        <v>5</v>
      </c>
      <c r="P15" s="11">
        <v>4</v>
      </c>
      <c r="Q15" s="11">
        <v>5</v>
      </c>
      <c r="R15" s="11">
        <v>4</v>
      </c>
      <c r="S15" s="11">
        <v>4</v>
      </c>
      <c r="T15" s="7">
        <f>SUM(Table5[[#This Row],[1]:[9]])</f>
        <v>44</v>
      </c>
      <c r="U15" s="7">
        <f>SUM(Table5[[#This Row],[10]:[18]])</f>
        <v>41</v>
      </c>
      <c r="V15" s="7">
        <f>SUM(Table5[[#This Row],[Out]:[In]])</f>
        <v>85</v>
      </c>
      <c r="W15" s="20">
        <f>IF(Table5[[#This Row],[Gross]]&gt;0,Table5[[#This Row],[Gross]]-Table5[[#This Row],[HCP]],0)</f>
        <v>79</v>
      </c>
      <c r="X15" s="70">
        <f>VLOOKUP(Table5[[#This Row],[Hole]],'Player Info'!A:C,3,0)</f>
        <v>6</v>
      </c>
      <c r="Y15" s="70" t="s">
        <v>80</v>
      </c>
      <c r="Z15" s="70">
        <v>0</v>
      </c>
      <c r="AA15" s="11" t="s">
        <v>12</v>
      </c>
      <c r="AB15" s="4"/>
      <c r="AC15" s="4"/>
      <c r="AF15" s="4"/>
      <c r="AG15" s="4"/>
    </row>
    <row r="16" spans="1:33" ht="12.75" hidden="1" outlineLevel="1" x14ac:dyDescent="0.2">
      <c r="A16" s="19" t="s">
        <v>50</v>
      </c>
      <c r="B16" s="11">
        <v>5</v>
      </c>
      <c r="C16" s="85">
        <v>5</v>
      </c>
      <c r="D16" s="11">
        <v>4</v>
      </c>
      <c r="E16" s="85">
        <v>7</v>
      </c>
      <c r="F16" s="11">
        <v>4</v>
      </c>
      <c r="G16" s="11">
        <v>4</v>
      </c>
      <c r="H16" s="11">
        <v>6</v>
      </c>
      <c r="I16" s="11">
        <v>4</v>
      </c>
      <c r="J16" s="11">
        <v>6</v>
      </c>
      <c r="K16" s="11">
        <v>5</v>
      </c>
      <c r="L16" s="85">
        <v>6</v>
      </c>
      <c r="M16" s="11">
        <v>4</v>
      </c>
      <c r="N16" s="11">
        <v>8</v>
      </c>
      <c r="O16" s="85">
        <v>6</v>
      </c>
      <c r="P16" s="11">
        <v>3</v>
      </c>
      <c r="Q16" s="11">
        <v>8</v>
      </c>
      <c r="R16" s="11">
        <v>3</v>
      </c>
      <c r="S16" s="11">
        <v>6</v>
      </c>
      <c r="T16" s="7">
        <f>SUM(Table5[[#This Row],[1]:[9]])</f>
        <v>45</v>
      </c>
      <c r="U16" s="7">
        <f>SUM(Table5[[#This Row],[10]:[18]])</f>
        <v>49</v>
      </c>
      <c r="V16" s="7">
        <f>SUM(Table5[[#This Row],[Out]:[In]])</f>
        <v>94</v>
      </c>
      <c r="W16" s="20">
        <f>IF(Table5[[#This Row],[Gross]]&gt;0,Table5[[#This Row],[Gross]]-Table5[[#This Row],[HCP]],0)</f>
        <v>84</v>
      </c>
      <c r="X16" s="70">
        <f>VLOOKUP(Table5[[#This Row],[Hole]],'Player Info'!A:C,3,0)</f>
        <v>10</v>
      </c>
      <c r="Y16" s="70" t="s">
        <v>80</v>
      </c>
      <c r="Z16" s="70">
        <v>4</v>
      </c>
      <c r="AA16" s="11" t="s">
        <v>12</v>
      </c>
      <c r="AB16" s="4"/>
      <c r="AC16" s="4"/>
      <c r="AF16" s="4"/>
      <c r="AG16" s="4"/>
    </row>
    <row r="17" spans="1:33" ht="12.75" hidden="1" outlineLevel="1" x14ac:dyDescent="0.2">
      <c r="A17" s="19" t="s">
        <v>51</v>
      </c>
      <c r="B17" s="85">
        <v>6</v>
      </c>
      <c r="C17" s="85">
        <v>9</v>
      </c>
      <c r="D17" s="11">
        <v>4</v>
      </c>
      <c r="E17" s="85">
        <v>5</v>
      </c>
      <c r="F17" s="11">
        <v>7</v>
      </c>
      <c r="G17" s="11">
        <v>6</v>
      </c>
      <c r="H17" s="85">
        <v>4</v>
      </c>
      <c r="I17" s="11">
        <v>5</v>
      </c>
      <c r="J17" s="11">
        <v>6</v>
      </c>
      <c r="K17" s="11">
        <v>4</v>
      </c>
      <c r="L17" s="85">
        <v>6</v>
      </c>
      <c r="M17" s="11">
        <v>4</v>
      </c>
      <c r="N17" s="85">
        <v>6</v>
      </c>
      <c r="O17" s="85">
        <v>4</v>
      </c>
      <c r="P17" s="11">
        <v>4</v>
      </c>
      <c r="Q17" s="85">
        <v>5</v>
      </c>
      <c r="R17" s="11">
        <v>7</v>
      </c>
      <c r="S17" s="11">
        <v>7</v>
      </c>
      <c r="T17" s="7">
        <f>SUM(Table5[[#This Row],[1]:[9]])</f>
        <v>52</v>
      </c>
      <c r="U17" s="7">
        <f>SUM(Table5[[#This Row],[10]:[18]])</f>
        <v>47</v>
      </c>
      <c r="V17" s="7">
        <f>SUM(Table5[[#This Row],[Out]:[In]])</f>
        <v>99</v>
      </c>
      <c r="W17" s="20">
        <f>IF(Table5[[#This Row],[Gross]]&gt;0,Table5[[#This Row],[Gross]]-Table5[[#This Row],[HCP]],0)</f>
        <v>85</v>
      </c>
      <c r="X17" s="70">
        <f>VLOOKUP(Table5[[#This Row],[Hole]],'Player Info'!A:C,3,0)</f>
        <v>14</v>
      </c>
      <c r="Y17" s="70" t="s">
        <v>80</v>
      </c>
      <c r="Z17" s="70">
        <v>8</v>
      </c>
      <c r="AA17" s="11" t="s">
        <v>12</v>
      </c>
      <c r="AB17" s="4"/>
      <c r="AC17" s="4"/>
      <c r="AF17" s="4"/>
      <c r="AG17" s="4"/>
    </row>
    <row r="18" spans="1:33" ht="12.75" hidden="1" outlineLevel="1" x14ac:dyDescent="0.2">
      <c r="A18" s="19" t="s">
        <v>15</v>
      </c>
      <c r="B18" s="85">
        <v>7</v>
      </c>
      <c r="C18" s="85">
        <v>7</v>
      </c>
      <c r="D18" s="11">
        <v>5</v>
      </c>
      <c r="E18" s="85">
        <v>7</v>
      </c>
      <c r="F18" s="11">
        <v>6</v>
      </c>
      <c r="G18" s="11">
        <v>8</v>
      </c>
      <c r="H18" s="85">
        <v>6</v>
      </c>
      <c r="I18" s="11">
        <v>7</v>
      </c>
      <c r="J18" s="11">
        <v>7</v>
      </c>
      <c r="K18" s="11">
        <v>5</v>
      </c>
      <c r="L18" s="85">
        <v>7</v>
      </c>
      <c r="M18" s="11">
        <v>6</v>
      </c>
      <c r="N18" s="85">
        <v>8</v>
      </c>
      <c r="O18" s="85">
        <v>6</v>
      </c>
      <c r="P18" s="11">
        <v>6</v>
      </c>
      <c r="Q18" s="85">
        <v>5</v>
      </c>
      <c r="R18" s="11">
        <v>5</v>
      </c>
      <c r="S18" s="85">
        <v>5</v>
      </c>
      <c r="T18" s="7">
        <f>SUM(Table5[[#This Row],[1]:[9]])</f>
        <v>60</v>
      </c>
      <c r="U18" s="7">
        <f>SUM(Table5[[#This Row],[10]:[18]])</f>
        <v>53</v>
      </c>
      <c r="V18" s="7">
        <f>SUM(Table5[[#This Row],[Out]:[In]])</f>
        <v>113</v>
      </c>
      <c r="W18" s="20">
        <f>IF(Table5[[#This Row],[Gross]]&gt;0,Table5[[#This Row],[Gross]]-Table5[[#This Row],[HCP]],0)</f>
        <v>98</v>
      </c>
      <c r="X18" s="70">
        <f>VLOOKUP(Table5[[#This Row],[Hole]],'Player Info'!A:C,3,0)</f>
        <v>15</v>
      </c>
      <c r="Y18" s="70" t="s">
        <v>80</v>
      </c>
      <c r="Z18" s="70">
        <v>9</v>
      </c>
      <c r="AA18" s="11" t="s">
        <v>12</v>
      </c>
      <c r="AB18" s="4"/>
      <c r="AC18" s="4"/>
      <c r="AF18" s="4"/>
      <c r="AG18" s="4"/>
    </row>
    <row r="19" spans="1:33" ht="12.75" collapsed="1" x14ac:dyDescent="0.2">
      <c r="A19" s="82"/>
      <c r="B19" s="83"/>
      <c r="C19" s="83"/>
      <c r="D19" s="83"/>
      <c r="E19" s="83"/>
      <c r="F19" s="83"/>
      <c r="G19" s="83"/>
      <c r="H19" s="83"/>
      <c r="I19" s="83"/>
      <c r="J19" s="83"/>
      <c r="K19" s="83"/>
      <c r="L19" s="83"/>
      <c r="M19" s="83"/>
      <c r="N19" s="83"/>
      <c r="O19" s="83"/>
      <c r="P19" s="83"/>
      <c r="Q19" s="83"/>
      <c r="R19" s="83"/>
      <c r="S19" s="83"/>
      <c r="T19" s="84"/>
      <c r="U19" s="84"/>
      <c r="V19" s="84"/>
      <c r="W19" s="84"/>
      <c r="X19" s="84"/>
      <c r="Y19" s="83"/>
      <c r="Z19" s="4"/>
      <c r="AB19" s="4"/>
      <c r="AC19" s="4"/>
      <c r="AF19" s="4"/>
      <c r="AG19" s="4"/>
    </row>
    <row r="20" spans="1:33" x14ac:dyDescent="0.25">
      <c r="A20" s="78" t="s">
        <v>86</v>
      </c>
      <c r="B20" s="79"/>
      <c r="C20" s="79"/>
      <c r="D20" s="79"/>
      <c r="E20" s="79"/>
      <c r="F20" s="79"/>
      <c r="G20" s="79"/>
      <c r="H20" s="79"/>
      <c r="I20" s="79"/>
      <c r="J20" s="79"/>
      <c r="K20" s="79"/>
      <c r="L20" s="79"/>
      <c r="M20" s="79"/>
      <c r="N20" s="79"/>
      <c r="O20" s="79"/>
      <c r="P20" s="79"/>
      <c r="Q20" s="79"/>
      <c r="R20" s="79"/>
      <c r="S20" s="79"/>
      <c r="T20" s="79"/>
      <c r="U20" s="79"/>
      <c r="V20" s="79"/>
      <c r="W20" s="79"/>
      <c r="X20" s="79"/>
      <c r="Y20" s="80"/>
      <c r="Z20" s="79"/>
      <c r="AA20" s="78"/>
      <c r="AB20" s="81"/>
      <c r="AC20" s="81"/>
    </row>
    <row r="21" spans="1:33" ht="12.75" hidden="1" outlineLevel="1" x14ac:dyDescent="0.2">
      <c r="A21" s="1" t="s">
        <v>0</v>
      </c>
      <c r="B21" s="2" t="s">
        <v>97</v>
      </c>
      <c r="Y21" s="3"/>
      <c r="AA21" s="3"/>
      <c r="AB21" s="3"/>
      <c r="AC21" s="3"/>
      <c r="AF21" s="4"/>
      <c r="AG21" s="4"/>
    </row>
    <row r="22" spans="1:33" ht="12.75" hidden="1" outlineLevel="1" x14ac:dyDescent="0.2">
      <c r="A22" s="5" t="s">
        <v>2</v>
      </c>
      <c r="B22" s="6">
        <v>339</v>
      </c>
      <c r="C22" s="6">
        <v>491</v>
      </c>
      <c r="D22" s="6">
        <v>359</v>
      </c>
      <c r="E22" s="6">
        <v>170</v>
      </c>
      <c r="F22" s="6">
        <v>400</v>
      </c>
      <c r="G22" s="6">
        <v>518</v>
      </c>
      <c r="H22" s="6">
        <v>400</v>
      </c>
      <c r="I22" s="6">
        <v>157</v>
      </c>
      <c r="J22" s="6">
        <v>389</v>
      </c>
      <c r="K22" s="6">
        <v>362</v>
      </c>
      <c r="L22" s="6">
        <v>393</v>
      </c>
      <c r="M22" s="6">
        <v>510</v>
      </c>
      <c r="N22" s="6">
        <v>428</v>
      </c>
      <c r="O22" s="6">
        <v>134</v>
      </c>
      <c r="P22" s="6">
        <v>353</v>
      </c>
      <c r="Q22" s="6">
        <v>360</v>
      </c>
      <c r="R22" s="6">
        <v>193</v>
      </c>
      <c r="S22" s="6">
        <v>462</v>
      </c>
      <c r="T22" s="6">
        <f>SUM(B22:J22)</f>
        <v>3223</v>
      </c>
      <c r="U22" s="6">
        <f>SUM(K22:S22)</f>
        <v>3195</v>
      </c>
      <c r="V22" s="6">
        <f>SUM(T22:U22)</f>
        <v>6418</v>
      </c>
      <c r="W22" s="7"/>
      <c r="X22" s="7"/>
      <c r="Y22" s="7"/>
      <c r="Z22" s="7"/>
      <c r="AA22" s="7"/>
      <c r="AB22" s="7"/>
      <c r="AC22" s="7"/>
      <c r="AF22" s="4"/>
      <c r="AG22" s="4"/>
    </row>
    <row r="23" spans="1:33" ht="12.75" hidden="1" outlineLevel="1" x14ac:dyDescent="0.2">
      <c r="A23" s="8" t="s">
        <v>3</v>
      </c>
      <c r="B23" s="9">
        <v>18</v>
      </c>
      <c r="C23" s="9">
        <v>8</v>
      </c>
      <c r="D23" s="9">
        <v>12</v>
      </c>
      <c r="E23" s="9">
        <v>10</v>
      </c>
      <c r="F23" s="9">
        <v>16</v>
      </c>
      <c r="G23" s="9">
        <v>2</v>
      </c>
      <c r="H23" s="9">
        <v>6</v>
      </c>
      <c r="I23" s="9">
        <v>14</v>
      </c>
      <c r="J23" s="9">
        <v>4</v>
      </c>
      <c r="K23" s="9">
        <v>7</v>
      </c>
      <c r="L23" s="9">
        <v>3</v>
      </c>
      <c r="M23" s="9">
        <v>1</v>
      </c>
      <c r="N23" s="9">
        <v>13</v>
      </c>
      <c r="O23" s="9">
        <v>9</v>
      </c>
      <c r="P23" s="9">
        <v>15</v>
      </c>
      <c r="Q23" s="9">
        <v>11</v>
      </c>
      <c r="R23" s="9">
        <v>17</v>
      </c>
      <c r="S23" s="9">
        <v>5</v>
      </c>
      <c r="T23" s="7"/>
      <c r="U23" s="7"/>
      <c r="V23" s="7"/>
      <c r="W23" s="7"/>
      <c r="X23" s="7"/>
      <c r="Y23" s="7"/>
      <c r="Z23" s="7"/>
      <c r="AA23" s="7"/>
      <c r="AB23" s="7"/>
      <c r="AC23" s="7"/>
      <c r="AF23" s="4"/>
      <c r="AG23" s="4"/>
    </row>
    <row r="24" spans="1:33" ht="12.75" hidden="1" outlineLevel="1" x14ac:dyDescent="0.2">
      <c r="A24" s="10" t="s">
        <v>8</v>
      </c>
      <c r="B24" s="11">
        <v>4</v>
      </c>
      <c r="C24" s="11">
        <v>5</v>
      </c>
      <c r="D24" s="11">
        <v>3</v>
      </c>
      <c r="E24" s="11">
        <v>4</v>
      </c>
      <c r="F24" s="11">
        <v>4</v>
      </c>
      <c r="G24" s="11">
        <v>5</v>
      </c>
      <c r="H24" s="11">
        <v>4</v>
      </c>
      <c r="I24" s="11">
        <v>3</v>
      </c>
      <c r="J24" s="11">
        <v>4</v>
      </c>
      <c r="K24" s="11">
        <v>4</v>
      </c>
      <c r="L24" s="11">
        <v>4</v>
      </c>
      <c r="M24" s="11">
        <v>5</v>
      </c>
      <c r="N24" s="11">
        <v>4</v>
      </c>
      <c r="O24" s="11">
        <v>3</v>
      </c>
      <c r="P24" s="11">
        <v>4</v>
      </c>
      <c r="Q24" s="11">
        <v>4</v>
      </c>
      <c r="R24" s="11">
        <v>3</v>
      </c>
      <c r="S24" s="11">
        <v>5</v>
      </c>
      <c r="T24" s="11">
        <v>36</v>
      </c>
      <c r="U24" s="11">
        <v>36</v>
      </c>
      <c r="V24" s="11">
        <v>72</v>
      </c>
      <c r="W24" s="7"/>
      <c r="X24" s="7"/>
      <c r="Y24" s="7"/>
      <c r="Z24" s="7"/>
      <c r="AA24" s="7"/>
      <c r="AB24" s="7"/>
      <c r="AC24" s="7"/>
      <c r="AF24" s="4"/>
      <c r="AG24" s="4"/>
    </row>
    <row r="25" spans="1:33" ht="12.75" hidden="1" outlineLevel="1" x14ac:dyDescent="0.2">
      <c r="A25" s="12" t="s">
        <v>9</v>
      </c>
      <c r="B25" s="13" t="s">
        <v>19</v>
      </c>
      <c r="C25" s="13" t="s">
        <v>20</v>
      </c>
      <c r="D25" s="13" t="s">
        <v>18</v>
      </c>
      <c r="E25" s="13" t="s">
        <v>16</v>
      </c>
      <c r="F25" s="13" t="s">
        <v>17</v>
      </c>
      <c r="G25" s="13" t="s">
        <v>21</v>
      </c>
      <c r="H25" s="13" t="s">
        <v>22</v>
      </c>
      <c r="I25" s="13" t="s">
        <v>23</v>
      </c>
      <c r="J25" s="13" t="s">
        <v>24</v>
      </c>
      <c r="K25" s="13" t="s">
        <v>25</v>
      </c>
      <c r="L25" s="13" t="s">
        <v>26</v>
      </c>
      <c r="M25" s="13" t="s">
        <v>27</v>
      </c>
      <c r="N25" s="13" t="s">
        <v>28</v>
      </c>
      <c r="O25" s="13" t="s">
        <v>29</v>
      </c>
      <c r="P25" s="13" t="s">
        <v>30</v>
      </c>
      <c r="Q25" s="13" t="s">
        <v>31</v>
      </c>
      <c r="R25" s="13" t="s">
        <v>32</v>
      </c>
      <c r="S25" s="13" t="s">
        <v>33</v>
      </c>
      <c r="T25" s="13" t="s">
        <v>5</v>
      </c>
      <c r="U25" s="13" t="s">
        <v>4</v>
      </c>
      <c r="V25" s="13" t="s">
        <v>34</v>
      </c>
      <c r="W25" s="13" t="s">
        <v>7</v>
      </c>
      <c r="X25" s="13" t="s">
        <v>6</v>
      </c>
      <c r="Y25" s="13" t="s">
        <v>35</v>
      </c>
      <c r="Z25" s="13" t="s">
        <v>81</v>
      </c>
      <c r="AA25" s="13" t="s">
        <v>44</v>
      </c>
      <c r="AB25" s="13" t="s">
        <v>38</v>
      </c>
      <c r="AC25" s="13" t="s">
        <v>11</v>
      </c>
      <c r="AF25" s="4"/>
      <c r="AG25" s="4"/>
    </row>
    <row r="26" spans="1:33" ht="12.75" hidden="1" outlineLevel="1" x14ac:dyDescent="0.2">
      <c r="A26" s="19" t="s">
        <v>49</v>
      </c>
      <c r="B26" s="14">
        <v>5</v>
      </c>
      <c r="C26" s="14">
        <v>4</v>
      </c>
      <c r="D26" s="14">
        <v>4</v>
      </c>
      <c r="E26" s="14">
        <v>4</v>
      </c>
      <c r="F26" s="14">
        <v>4</v>
      </c>
      <c r="G26" s="14">
        <v>6</v>
      </c>
      <c r="H26" s="14">
        <v>6</v>
      </c>
      <c r="I26" s="14">
        <v>2</v>
      </c>
      <c r="J26" s="14">
        <v>5</v>
      </c>
      <c r="K26" s="14">
        <v>5</v>
      </c>
      <c r="L26" s="14">
        <v>7</v>
      </c>
      <c r="M26" s="14">
        <v>5</v>
      </c>
      <c r="N26" s="14">
        <v>4</v>
      </c>
      <c r="O26" s="14">
        <v>3</v>
      </c>
      <c r="P26" s="14">
        <v>6</v>
      </c>
      <c r="Q26" s="14">
        <v>4</v>
      </c>
      <c r="R26" s="14">
        <v>3</v>
      </c>
      <c r="S26" s="14">
        <v>5</v>
      </c>
      <c r="T26" s="15">
        <f>SUM(Table13[[#This Row],[1]:[9]])</f>
        <v>40</v>
      </c>
      <c r="U26" s="15">
        <f>SUM(Table13[[#This Row],[10]:[18]])</f>
        <v>42</v>
      </c>
      <c r="V26" s="15">
        <f>SUM(Table13[[#This Row],[Out]:[In]])</f>
        <v>82</v>
      </c>
      <c r="W26" s="15">
        <f>IF(Table13[[#This Row],[Gross]]&gt;0,Table13[[#This Row],[Gross]]-Table13[[#This Row],[HCP]],0)</f>
        <v>79</v>
      </c>
      <c r="X26" s="15">
        <f>VLOOKUP(Table13[[#This Row],[Hole]],'Player Info'!A:C,3,0)</f>
        <v>3</v>
      </c>
      <c r="Y26" s="14" t="s">
        <v>78</v>
      </c>
      <c r="Z26" s="14">
        <v>0</v>
      </c>
      <c r="AA26" s="21">
        <v>-9</v>
      </c>
      <c r="AB26" s="21">
        <v>2</v>
      </c>
      <c r="AC26" s="15" t="str">
        <f>VLOOKUP(Table13[[#This Row],[Hole]],'Player Info'!A:B,2,0)</f>
        <v>Matt</v>
      </c>
      <c r="AF26" s="4"/>
      <c r="AG26" s="4"/>
    </row>
    <row r="27" spans="1:33" ht="12.75" hidden="1" outlineLevel="1" x14ac:dyDescent="0.2">
      <c r="A27" s="19" t="s">
        <v>48</v>
      </c>
      <c r="B27" s="14">
        <v>5</v>
      </c>
      <c r="C27" s="71">
        <v>8</v>
      </c>
      <c r="D27" s="71">
        <v>6</v>
      </c>
      <c r="E27" s="71">
        <v>6</v>
      </c>
      <c r="F27" s="14">
        <v>8</v>
      </c>
      <c r="G27" s="71">
        <v>9</v>
      </c>
      <c r="H27" s="71">
        <v>5</v>
      </c>
      <c r="I27" s="14">
        <v>5</v>
      </c>
      <c r="J27" s="71">
        <v>6</v>
      </c>
      <c r="K27" s="71">
        <v>6</v>
      </c>
      <c r="L27" s="71">
        <v>7</v>
      </c>
      <c r="M27" s="71">
        <v>6</v>
      </c>
      <c r="N27" s="71">
        <v>5</v>
      </c>
      <c r="O27" s="71">
        <v>5</v>
      </c>
      <c r="P27" s="14">
        <v>4</v>
      </c>
      <c r="Q27" s="71">
        <v>5</v>
      </c>
      <c r="R27" s="14">
        <v>3</v>
      </c>
      <c r="S27" s="71">
        <v>4</v>
      </c>
      <c r="T27" s="15">
        <f>SUM(Table13[[#This Row],[1]:[9]])</f>
        <v>58</v>
      </c>
      <c r="U27" s="15">
        <f>SUM(Table13[[#This Row],[10]:[18]])</f>
        <v>45</v>
      </c>
      <c r="V27" s="15">
        <f>SUM(Table13[[#This Row],[Out]:[In]])</f>
        <v>103</v>
      </c>
      <c r="W27" s="15">
        <f>IF(Table13[[#This Row],[Gross]]&gt;0,Table13[[#This Row],[Gross]]-Table13[[#This Row],[HCP]],0)</f>
        <v>87</v>
      </c>
      <c r="X27" s="15">
        <f>VLOOKUP(Table13[[#This Row],[Hole]],'Player Info'!A:C,3,0)</f>
        <v>16</v>
      </c>
      <c r="Y27" s="14" t="s">
        <v>78</v>
      </c>
      <c r="Z27" s="14">
        <v>13</v>
      </c>
      <c r="AA27" s="21">
        <v>-15</v>
      </c>
      <c r="AB27" s="21">
        <v>0</v>
      </c>
      <c r="AC27" s="15" t="str">
        <f>VLOOKUP(Table13[[#This Row],[Hole]],'Player Info'!A:B,2,0)</f>
        <v>Matt</v>
      </c>
      <c r="AF27" s="4"/>
      <c r="AG27" s="4"/>
    </row>
    <row r="28" spans="1:33" ht="12.75" hidden="1" outlineLevel="1" x14ac:dyDescent="0.2">
      <c r="A28" s="19" t="s">
        <v>47</v>
      </c>
      <c r="B28" s="14">
        <v>8</v>
      </c>
      <c r="C28" s="14">
        <v>6</v>
      </c>
      <c r="D28" s="14">
        <v>3</v>
      </c>
      <c r="E28" s="14">
        <v>5</v>
      </c>
      <c r="F28" s="14">
        <v>5</v>
      </c>
      <c r="G28" s="71">
        <v>8</v>
      </c>
      <c r="H28" s="71">
        <v>6</v>
      </c>
      <c r="I28" s="14">
        <v>2</v>
      </c>
      <c r="J28" s="71">
        <v>4</v>
      </c>
      <c r="K28" s="71">
        <v>5</v>
      </c>
      <c r="L28" s="71">
        <v>5</v>
      </c>
      <c r="M28" s="71">
        <v>5</v>
      </c>
      <c r="N28" s="14">
        <v>5</v>
      </c>
      <c r="O28" s="14">
        <v>5</v>
      </c>
      <c r="P28" s="14">
        <v>7</v>
      </c>
      <c r="Q28" s="14">
        <v>5</v>
      </c>
      <c r="R28" s="14">
        <v>6</v>
      </c>
      <c r="S28" s="71">
        <v>6</v>
      </c>
      <c r="T28" s="15">
        <f>SUM(Table13[[#This Row],[1]:[9]])</f>
        <v>47</v>
      </c>
      <c r="U28" s="15">
        <f>SUM(Table13[[#This Row],[10]:[18]])</f>
        <v>49</v>
      </c>
      <c r="V28" s="15">
        <f>SUM(Table13[[#This Row],[Out]:[In]])</f>
        <v>96</v>
      </c>
      <c r="W28" s="15">
        <f>IF(Table13[[#This Row],[Gross]]&gt;0,Table13[[#This Row],[Gross]]-Table13[[#This Row],[HCP]],0)</f>
        <v>86</v>
      </c>
      <c r="X28" s="15">
        <f>VLOOKUP(Table13[[#This Row],[Hole]],'Player Info'!A:C,3,0)</f>
        <v>10</v>
      </c>
      <c r="Y28" s="14" t="s">
        <v>78</v>
      </c>
      <c r="Z28" s="14">
        <v>7</v>
      </c>
      <c r="AA28" s="21">
        <v>-15</v>
      </c>
      <c r="AB28" s="21">
        <v>1</v>
      </c>
      <c r="AC28" s="15" t="str">
        <f>VLOOKUP(Table13[[#This Row],[Hole]],'Player Info'!A:B,2,0)</f>
        <v>Danny</v>
      </c>
      <c r="AF28" s="4"/>
      <c r="AG28" s="4"/>
    </row>
    <row r="29" spans="1:33" ht="12.75" hidden="1" outlineLevel="1" x14ac:dyDescent="0.2">
      <c r="A29" s="19" t="s">
        <v>36</v>
      </c>
      <c r="B29" s="14">
        <v>5</v>
      </c>
      <c r="C29" s="14">
        <v>5</v>
      </c>
      <c r="D29" s="14">
        <v>5</v>
      </c>
      <c r="E29" s="14">
        <v>6</v>
      </c>
      <c r="F29" s="14">
        <v>6</v>
      </c>
      <c r="G29" s="71">
        <v>8</v>
      </c>
      <c r="H29" s="14">
        <v>8</v>
      </c>
      <c r="I29" s="14">
        <v>4</v>
      </c>
      <c r="J29" s="14">
        <v>5</v>
      </c>
      <c r="K29" s="14">
        <v>5</v>
      </c>
      <c r="L29" s="71">
        <v>4</v>
      </c>
      <c r="M29" s="71">
        <v>7</v>
      </c>
      <c r="N29" s="14">
        <v>5</v>
      </c>
      <c r="O29" s="14">
        <v>3</v>
      </c>
      <c r="P29" s="14">
        <v>4</v>
      </c>
      <c r="Q29" s="14">
        <v>5</v>
      </c>
      <c r="R29" s="14">
        <v>4</v>
      </c>
      <c r="S29" s="14">
        <v>5</v>
      </c>
      <c r="T29" s="15">
        <f>SUM(Table13[[#This Row],[1]:[9]])</f>
        <v>52</v>
      </c>
      <c r="U29" s="15">
        <f>SUM(Table13[[#This Row],[10]:[18]])</f>
        <v>42</v>
      </c>
      <c r="V29" s="15">
        <f>SUM(Table13[[#This Row],[Out]:[In]])</f>
        <v>94</v>
      </c>
      <c r="W29" s="15">
        <f>IF(Table13[[#This Row],[Gross]]&gt;0,Table13[[#This Row],[Gross]]-Table13[[#This Row],[HCP]],0)</f>
        <v>88</v>
      </c>
      <c r="X29" s="15">
        <f>VLOOKUP(Table13[[#This Row],[Hole]],'Player Info'!A:C,3,0)</f>
        <v>6</v>
      </c>
      <c r="Y29" s="14" t="s">
        <v>78</v>
      </c>
      <c r="Z29" s="14">
        <v>3</v>
      </c>
      <c r="AA29" s="21">
        <v>-17</v>
      </c>
      <c r="AB29" s="21">
        <v>0</v>
      </c>
      <c r="AC29" s="15" t="str">
        <f>VLOOKUP(Table13[[#This Row],[Hole]],'Player Info'!A:B,2,0)</f>
        <v>Danny</v>
      </c>
      <c r="AF29" s="4"/>
      <c r="AG29" s="4"/>
    </row>
    <row r="30" spans="1:33" ht="12.75" hidden="1" outlineLevel="1" x14ac:dyDescent="0.2">
      <c r="A30" s="19" t="s">
        <v>15</v>
      </c>
      <c r="B30" s="14">
        <v>6</v>
      </c>
      <c r="C30" s="14">
        <v>10</v>
      </c>
      <c r="D30" s="14">
        <v>6</v>
      </c>
      <c r="E30" s="14">
        <v>8</v>
      </c>
      <c r="F30" s="14">
        <v>9</v>
      </c>
      <c r="G30" s="71">
        <v>10</v>
      </c>
      <c r="H30" s="71">
        <v>5</v>
      </c>
      <c r="I30" s="14">
        <v>4</v>
      </c>
      <c r="J30" s="71">
        <v>4</v>
      </c>
      <c r="K30" s="14">
        <v>9</v>
      </c>
      <c r="L30" s="71">
        <v>7</v>
      </c>
      <c r="M30" s="71">
        <v>9</v>
      </c>
      <c r="N30" s="14">
        <v>7</v>
      </c>
      <c r="O30" s="14">
        <v>10</v>
      </c>
      <c r="P30" s="14">
        <v>5</v>
      </c>
      <c r="Q30" s="14">
        <v>6</v>
      </c>
      <c r="R30" s="14">
        <v>6</v>
      </c>
      <c r="S30" s="71">
        <v>8</v>
      </c>
      <c r="T30" s="15">
        <f>SUM(Table13[[#This Row],[1]:[9]])</f>
        <v>62</v>
      </c>
      <c r="U30" s="15">
        <f>SUM(Table13[[#This Row],[10]:[18]])</f>
        <v>67</v>
      </c>
      <c r="V30" s="15">
        <f>SUM(Table13[[#This Row],[Out]:[In]])</f>
        <v>129</v>
      </c>
      <c r="W30" s="15">
        <f>IF(Table13[[#This Row],[Gross]]&gt;0,Table13[[#This Row],[Gross]]-Table13[[#This Row],[HCP]],0)</f>
        <v>114</v>
      </c>
      <c r="X30" s="15">
        <f>VLOOKUP(Table13[[#This Row],[Hole]],'Player Info'!A:C,3,0)</f>
        <v>15</v>
      </c>
      <c r="Y30" s="14" t="s">
        <v>79</v>
      </c>
      <c r="Z30" s="14">
        <v>6</v>
      </c>
      <c r="AA30" s="21">
        <v>-31</v>
      </c>
      <c r="AB30" s="21">
        <v>0</v>
      </c>
      <c r="AC30" s="15" t="str">
        <f>VLOOKUP(Table13[[#This Row],[Hole]],'Player Info'!A:B,2,0)</f>
        <v>Eric</v>
      </c>
      <c r="AF30" s="4"/>
      <c r="AG30" s="4"/>
    </row>
    <row r="31" spans="1:33" ht="12.75" hidden="1" outlineLevel="1" x14ac:dyDescent="0.2">
      <c r="A31" s="19" t="s">
        <v>54</v>
      </c>
      <c r="B31" s="14">
        <v>7</v>
      </c>
      <c r="C31" s="14">
        <v>10</v>
      </c>
      <c r="D31" s="14">
        <v>2</v>
      </c>
      <c r="E31" s="14">
        <v>6</v>
      </c>
      <c r="F31" s="14">
        <v>4</v>
      </c>
      <c r="G31" s="71">
        <v>6</v>
      </c>
      <c r="H31" s="71">
        <v>8</v>
      </c>
      <c r="I31" s="14">
        <v>3</v>
      </c>
      <c r="J31" s="71">
        <v>5</v>
      </c>
      <c r="K31" s="14">
        <v>8</v>
      </c>
      <c r="L31" s="71">
        <v>8</v>
      </c>
      <c r="M31" s="71">
        <v>5</v>
      </c>
      <c r="N31" s="14">
        <v>4</v>
      </c>
      <c r="O31" s="14">
        <v>9</v>
      </c>
      <c r="P31" s="14">
        <v>4</v>
      </c>
      <c r="Q31" s="14">
        <v>5</v>
      </c>
      <c r="R31" s="14">
        <v>4</v>
      </c>
      <c r="S31" s="71">
        <v>6</v>
      </c>
      <c r="T31" s="15">
        <f>SUM(Table13[[#This Row],[1]:[9]])</f>
        <v>51</v>
      </c>
      <c r="U31" s="15">
        <f>SUM(Table13[[#This Row],[10]:[18]])</f>
        <v>53</v>
      </c>
      <c r="V31" s="15">
        <f>SUM(Table13[[#This Row],[Out]:[In]])</f>
        <v>104</v>
      </c>
      <c r="W31" s="15">
        <f>IF(Table13[[#This Row],[Gross]]&gt;0,Table13[[#This Row],[Gross]]-Table13[[#This Row],[HCP]],0)</f>
        <v>89</v>
      </c>
      <c r="X31" s="15">
        <f>VLOOKUP(Table13[[#This Row],[Hole]],'Player Info'!A:C,3,0)</f>
        <v>15</v>
      </c>
      <c r="Y31" s="14" t="s">
        <v>79</v>
      </c>
      <c r="Z31" s="14">
        <v>6</v>
      </c>
      <c r="AA31" s="21">
        <v>-15</v>
      </c>
      <c r="AB31" s="21">
        <v>1</v>
      </c>
      <c r="AC31" s="15" t="str">
        <f>VLOOKUP(Table13[[#This Row],[Hole]],'Player Info'!A:B,2,0)</f>
        <v>Danny</v>
      </c>
      <c r="AF31" s="4"/>
      <c r="AG31" s="4"/>
    </row>
    <row r="32" spans="1:33" ht="12.75" hidden="1" outlineLevel="1" x14ac:dyDescent="0.2">
      <c r="A32" s="19" t="s">
        <v>51</v>
      </c>
      <c r="B32" s="14">
        <v>7</v>
      </c>
      <c r="C32" s="14">
        <v>6</v>
      </c>
      <c r="D32" s="14">
        <v>3</v>
      </c>
      <c r="E32" s="14">
        <v>5</v>
      </c>
      <c r="F32" s="14">
        <v>5</v>
      </c>
      <c r="G32" s="71">
        <v>6</v>
      </c>
      <c r="H32" s="14">
        <v>5</v>
      </c>
      <c r="I32" s="14">
        <v>3</v>
      </c>
      <c r="J32" s="71">
        <v>4</v>
      </c>
      <c r="K32" s="14">
        <v>7</v>
      </c>
      <c r="L32" s="71">
        <v>6</v>
      </c>
      <c r="M32" s="71">
        <v>8</v>
      </c>
      <c r="N32" s="14">
        <v>6</v>
      </c>
      <c r="O32" s="14">
        <v>3</v>
      </c>
      <c r="P32" s="14">
        <v>4</v>
      </c>
      <c r="Q32" s="14">
        <v>4</v>
      </c>
      <c r="R32" s="14">
        <v>3</v>
      </c>
      <c r="S32" s="71">
        <v>7</v>
      </c>
      <c r="T32" s="15">
        <f>SUM(Table13[[#This Row],[1]:[9]])</f>
        <v>44</v>
      </c>
      <c r="U32" s="15">
        <f>SUM(Table13[[#This Row],[10]:[18]])</f>
        <v>48</v>
      </c>
      <c r="V32" s="15">
        <f>SUM(Table13[[#This Row],[Out]:[In]])</f>
        <v>92</v>
      </c>
      <c r="W32" s="15">
        <f>IF(Table13[[#This Row],[Gross]]&gt;0,Table13[[#This Row],[Gross]]-Table13[[#This Row],[HCP]],0)</f>
        <v>78</v>
      </c>
      <c r="X32" s="15">
        <f>VLOOKUP(Table13[[#This Row],[Hole]],'Player Info'!A:C,3,0)</f>
        <v>14</v>
      </c>
      <c r="Y32" s="14" t="s">
        <v>79</v>
      </c>
      <c r="Z32" s="14">
        <v>5</v>
      </c>
      <c r="AA32" s="21">
        <v>-13</v>
      </c>
      <c r="AB32" s="21">
        <v>2</v>
      </c>
      <c r="AC32" s="15" t="str">
        <f>VLOOKUP(Table13[[#This Row],[Hole]],'Player Info'!A:B,2,0)</f>
        <v>Eric</v>
      </c>
      <c r="AF32" s="4"/>
      <c r="AG32" s="4"/>
    </row>
    <row r="33" spans="1:33" ht="12.75" hidden="1" outlineLevel="1" x14ac:dyDescent="0.2">
      <c r="A33" s="19" t="s">
        <v>37</v>
      </c>
      <c r="B33" s="16">
        <v>5</v>
      </c>
      <c r="C33" s="16">
        <v>8</v>
      </c>
      <c r="D33" s="16">
        <v>2</v>
      </c>
      <c r="E33" s="16">
        <v>5</v>
      </c>
      <c r="F33" s="16">
        <v>10</v>
      </c>
      <c r="G33" s="16">
        <v>10</v>
      </c>
      <c r="H33" s="16">
        <v>5</v>
      </c>
      <c r="I33" s="16">
        <v>4</v>
      </c>
      <c r="J33" s="16">
        <v>5</v>
      </c>
      <c r="K33" s="16">
        <v>4</v>
      </c>
      <c r="L33" s="16">
        <v>6</v>
      </c>
      <c r="M33" s="16">
        <v>5</v>
      </c>
      <c r="N33" s="16">
        <v>4</v>
      </c>
      <c r="O33" s="16">
        <v>5</v>
      </c>
      <c r="P33" s="16">
        <v>4</v>
      </c>
      <c r="Q33" s="16">
        <v>4</v>
      </c>
      <c r="R33" s="16">
        <v>4</v>
      </c>
      <c r="S33" s="16">
        <v>7</v>
      </c>
      <c r="T33" s="17">
        <f>SUM(Table13[[#This Row],[1]:[9]])</f>
        <v>54</v>
      </c>
      <c r="U33" s="17">
        <f>SUM(Table13[[#This Row],[10]:[18]])</f>
        <v>43</v>
      </c>
      <c r="V33" s="17">
        <f>SUM(Table13[[#This Row],[Out]:[In]])</f>
        <v>97</v>
      </c>
      <c r="W33" s="15">
        <f>IF(Table13[[#This Row],[Gross]]&gt;0,Table13[[#This Row],[Gross]]-Table13[[#This Row],[HCP]],0)</f>
        <v>88</v>
      </c>
      <c r="X33" s="15">
        <f>VLOOKUP(Table13[[#This Row],[Hole]],'Player Info'!A:C,3,0)</f>
        <v>9</v>
      </c>
      <c r="Y33" s="14" t="s">
        <v>79</v>
      </c>
      <c r="Z33" s="16">
        <v>0</v>
      </c>
      <c r="AA33" s="21">
        <v>-16</v>
      </c>
      <c r="AB33" s="21">
        <v>0</v>
      </c>
      <c r="AC33" s="15" t="str">
        <f>VLOOKUP(Table13[[#This Row],[Hole]],'Player Info'!A:B,2,0)</f>
        <v>Danny</v>
      </c>
      <c r="AF33" s="4"/>
      <c r="AG33" s="4"/>
    </row>
    <row r="34" spans="1:33" ht="12.75" hidden="1" outlineLevel="1" x14ac:dyDescent="0.2">
      <c r="A34" s="19" t="s">
        <v>45</v>
      </c>
      <c r="B34" s="14">
        <v>4</v>
      </c>
      <c r="C34" s="14">
        <v>6</v>
      </c>
      <c r="D34" s="14">
        <v>2</v>
      </c>
      <c r="E34" s="14">
        <v>5</v>
      </c>
      <c r="F34" s="14">
        <v>5</v>
      </c>
      <c r="G34" s="14">
        <v>8</v>
      </c>
      <c r="H34" s="14">
        <v>4</v>
      </c>
      <c r="I34" s="14">
        <v>4</v>
      </c>
      <c r="J34" s="14">
        <v>4</v>
      </c>
      <c r="K34" s="14">
        <v>6</v>
      </c>
      <c r="L34" s="14">
        <v>6</v>
      </c>
      <c r="M34" s="14">
        <v>5</v>
      </c>
      <c r="N34" s="14">
        <v>5</v>
      </c>
      <c r="O34" s="14">
        <v>5</v>
      </c>
      <c r="P34" s="14">
        <v>4</v>
      </c>
      <c r="Q34" s="14">
        <v>4</v>
      </c>
      <c r="R34" s="14">
        <v>4</v>
      </c>
      <c r="S34" s="14">
        <v>6</v>
      </c>
      <c r="T34" s="15">
        <f>SUM(Table13[[#This Row],[1]:[9]])</f>
        <v>42</v>
      </c>
      <c r="U34" s="15">
        <f>SUM(Table13[[#This Row],[10]:[18]])</f>
        <v>45</v>
      </c>
      <c r="V34" s="15">
        <f>SUM(Table13[[#This Row],[Out]:[In]])</f>
        <v>87</v>
      </c>
      <c r="W34" s="15">
        <f>IF(Table13[[#This Row],[Gross]]&gt;0,Table13[[#This Row],[Gross]]-Table13[[#This Row],[HCP]],0)</f>
        <v>81</v>
      </c>
      <c r="X34" s="15">
        <f>VLOOKUP(Table13[[#This Row],[Hole]],'Player Info'!A:C,3,0)</f>
        <v>6</v>
      </c>
      <c r="Y34" s="14" t="s">
        <v>80</v>
      </c>
      <c r="Z34" s="14">
        <v>0</v>
      </c>
      <c r="AA34" s="21">
        <v>-14</v>
      </c>
      <c r="AB34" s="21">
        <v>2</v>
      </c>
      <c r="AC34" s="15" t="str">
        <f>VLOOKUP(Table13[[#This Row],[Hole]],'Player Info'!A:B,2,0)</f>
        <v>Matt</v>
      </c>
      <c r="AF34" s="4"/>
      <c r="AG34" s="4"/>
    </row>
    <row r="35" spans="1:33" ht="12.75" hidden="1" outlineLevel="1" x14ac:dyDescent="0.2">
      <c r="A35" s="19" t="s">
        <v>50</v>
      </c>
      <c r="B35" s="14">
        <v>5</v>
      </c>
      <c r="C35" s="14">
        <v>10</v>
      </c>
      <c r="D35" s="14">
        <v>4</v>
      </c>
      <c r="E35" s="14">
        <v>5</v>
      </c>
      <c r="F35" s="14">
        <v>5</v>
      </c>
      <c r="G35" s="71">
        <v>7</v>
      </c>
      <c r="H35" s="14">
        <v>4</v>
      </c>
      <c r="I35" s="14">
        <v>5</v>
      </c>
      <c r="J35" s="71">
        <v>7</v>
      </c>
      <c r="K35" s="14">
        <v>4</v>
      </c>
      <c r="L35" s="71">
        <v>4</v>
      </c>
      <c r="M35" s="71">
        <v>7</v>
      </c>
      <c r="N35" s="14">
        <v>4</v>
      </c>
      <c r="O35" s="14">
        <v>3</v>
      </c>
      <c r="P35" s="14">
        <v>8</v>
      </c>
      <c r="Q35" s="14">
        <v>6</v>
      </c>
      <c r="R35" s="14">
        <v>4</v>
      </c>
      <c r="S35" s="14">
        <v>4</v>
      </c>
      <c r="T35" s="15">
        <f>SUM(Table13[[#This Row],[1]:[9]])</f>
        <v>52</v>
      </c>
      <c r="U35" s="15">
        <f>SUM(Table13[[#This Row],[10]:[18]])</f>
        <v>44</v>
      </c>
      <c r="V35" s="15">
        <f>SUM(Table13[[#This Row],[Out]:[In]])</f>
        <v>96</v>
      </c>
      <c r="W35" s="15">
        <f>IF(Table13[[#This Row],[Gross]]&gt;0,Table13[[#This Row],[Gross]]-Table13[[#This Row],[HCP]],0)</f>
        <v>86</v>
      </c>
      <c r="X35" s="15">
        <f>VLOOKUP(Table13[[#This Row],[Hole]],'Player Info'!A:C,3,0)</f>
        <v>10</v>
      </c>
      <c r="Y35" s="14" t="s">
        <v>80</v>
      </c>
      <c r="Z35" s="14">
        <v>4</v>
      </c>
      <c r="AA35" s="21">
        <v>-15</v>
      </c>
      <c r="AB35" s="21">
        <v>1</v>
      </c>
      <c r="AC35" s="15" t="str">
        <f>VLOOKUP(Table13[[#This Row],[Hole]],'Player Info'!A:B,2,0)</f>
        <v>Eric</v>
      </c>
      <c r="AF35" s="4"/>
      <c r="AG35" s="4"/>
    </row>
    <row r="36" spans="1:33" ht="12.75" hidden="1" outlineLevel="1" x14ac:dyDescent="0.2">
      <c r="A36" s="19" t="s">
        <v>14</v>
      </c>
      <c r="B36" s="14">
        <v>4</v>
      </c>
      <c r="C36" s="14">
        <v>10</v>
      </c>
      <c r="D36" s="14">
        <v>3</v>
      </c>
      <c r="E36" s="14">
        <v>5</v>
      </c>
      <c r="F36" s="14">
        <v>5</v>
      </c>
      <c r="G36" s="14">
        <v>6</v>
      </c>
      <c r="H36" s="14">
        <v>5</v>
      </c>
      <c r="I36" s="14">
        <v>4</v>
      </c>
      <c r="J36" s="14">
        <v>5</v>
      </c>
      <c r="K36" s="14">
        <v>7</v>
      </c>
      <c r="L36" s="14">
        <v>8</v>
      </c>
      <c r="M36" s="14">
        <v>10</v>
      </c>
      <c r="N36" s="14">
        <v>4</v>
      </c>
      <c r="O36" s="14">
        <v>4</v>
      </c>
      <c r="P36" s="14">
        <v>5</v>
      </c>
      <c r="Q36" s="14">
        <v>5</v>
      </c>
      <c r="R36" s="14">
        <v>4</v>
      </c>
      <c r="S36" s="14">
        <v>5</v>
      </c>
      <c r="T36" s="15">
        <f>SUM(Table13[[#This Row],[1]:[9]])</f>
        <v>47</v>
      </c>
      <c r="U36" s="15">
        <f>SUM(Table13[[#This Row],[10]:[18]])</f>
        <v>52</v>
      </c>
      <c r="V36" s="15">
        <f>SUM(Table13[[#This Row],[Out]:[In]])</f>
        <v>99</v>
      </c>
      <c r="W36" s="15">
        <f>IF(Table13[[#This Row],[Gross]]&gt;0,Table13[[#This Row],[Gross]]-Table13[[#This Row],[HCP]],0)</f>
        <v>93</v>
      </c>
      <c r="X36" s="15">
        <f>VLOOKUP(Table13[[#This Row],[Hole]],'Player Info'!A:C,3,0)</f>
        <v>6</v>
      </c>
      <c r="Y36" s="14" t="s">
        <v>80</v>
      </c>
      <c r="Z36" s="14">
        <v>0</v>
      </c>
      <c r="AA36" s="21">
        <v>-18</v>
      </c>
      <c r="AB36" s="21">
        <v>0</v>
      </c>
      <c r="AC36" s="15" t="str">
        <f>VLOOKUP(Table13[[#This Row],[Hole]],'Player Info'!A:B,2,0)</f>
        <v>Eric</v>
      </c>
      <c r="AF36" s="4"/>
      <c r="AG36" s="4"/>
    </row>
    <row r="37" spans="1:33" ht="12.75" hidden="1" outlineLevel="1" x14ac:dyDescent="0.2">
      <c r="A37" s="19" t="s">
        <v>52</v>
      </c>
      <c r="B37" s="14">
        <v>5</v>
      </c>
      <c r="C37" s="71">
        <v>5</v>
      </c>
      <c r="D37" s="14">
        <v>5</v>
      </c>
      <c r="E37" s="71">
        <v>6</v>
      </c>
      <c r="F37" s="14">
        <v>7</v>
      </c>
      <c r="G37" s="71">
        <v>9</v>
      </c>
      <c r="H37" s="71">
        <v>8</v>
      </c>
      <c r="I37" s="14">
        <v>4</v>
      </c>
      <c r="J37" s="71">
        <v>8</v>
      </c>
      <c r="K37" s="71">
        <v>5</v>
      </c>
      <c r="L37" s="71">
        <v>6</v>
      </c>
      <c r="M37" s="71">
        <v>5</v>
      </c>
      <c r="N37" s="14">
        <v>6</v>
      </c>
      <c r="O37" s="71">
        <v>4</v>
      </c>
      <c r="P37" s="14">
        <v>5</v>
      </c>
      <c r="Q37" s="14">
        <v>5</v>
      </c>
      <c r="R37" s="14">
        <v>4</v>
      </c>
      <c r="S37" s="71">
        <v>9</v>
      </c>
      <c r="T37" s="15">
        <f>SUM(Table13[[#This Row],[1]:[9]])</f>
        <v>57</v>
      </c>
      <c r="U37" s="15">
        <f>SUM(Table13[[#This Row],[10]:[18]])</f>
        <v>49</v>
      </c>
      <c r="V37" s="15">
        <f>SUM(Table13[[#This Row],[Out]:[In]])</f>
        <v>106</v>
      </c>
      <c r="W37" s="15">
        <f>IF(Table13[[#This Row],[Gross]]&gt;0,Table13[[#This Row],[Gross]]-Table13[[#This Row],[HCP]],0)</f>
        <v>90</v>
      </c>
      <c r="X37" s="15">
        <f>VLOOKUP(Table13[[#This Row],[Hole]],'Player Info'!A:C,3,0)</f>
        <v>16</v>
      </c>
      <c r="Y37" s="14" t="s">
        <v>80</v>
      </c>
      <c r="Z37" s="14">
        <v>10</v>
      </c>
      <c r="AA37" s="21">
        <v>-19</v>
      </c>
      <c r="AB37" s="21">
        <v>0</v>
      </c>
      <c r="AC37" s="15" t="str">
        <f>VLOOKUP(Table13[[#This Row],[Hole]],'Player Info'!A:B,2,0)</f>
        <v>Matt</v>
      </c>
      <c r="AF37" s="4"/>
      <c r="AG37" s="4"/>
    </row>
    <row r="38" spans="1:33" collapsed="1" x14ac:dyDescent="0.25">
      <c r="Y38" s="72"/>
    </row>
    <row r="39" spans="1:33" x14ac:dyDescent="0.25">
      <c r="A39" s="78" t="s">
        <v>93</v>
      </c>
      <c r="B39" s="79"/>
      <c r="C39" s="79"/>
      <c r="D39" s="79"/>
      <c r="E39" s="79"/>
      <c r="F39" s="79"/>
      <c r="G39" s="79"/>
      <c r="H39" s="79"/>
      <c r="I39" s="79"/>
      <c r="J39" s="79"/>
      <c r="K39" s="79"/>
      <c r="L39" s="79"/>
      <c r="M39" s="79"/>
      <c r="N39" s="79"/>
      <c r="O39" s="79"/>
      <c r="P39" s="79"/>
      <c r="Q39" s="79"/>
      <c r="R39" s="79"/>
      <c r="S39" s="79"/>
      <c r="T39" s="79"/>
      <c r="U39" s="79"/>
      <c r="V39" s="79"/>
      <c r="W39" s="79"/>
      <c r="X39" s="79"/>
      <c r="Y39" s="80"/>
      <c r="Z39" s="79"/>
      <c r="AA39" s="78"/>
      <c r="AB39" s="81"/>
      <c r="AC39" s="81"/>
    </row>
    <row r="40" spans="1:33" ht="12.75" hidden="1" outlineLevel="1" x14ac:dyDescent="0.2">
      <c r="A40" s="1" t="s">
        <v>0</v>
      </c>
      <c r="B40" s="2" t="s">
        <v>40</v>
      </c>
      <c r="Y40" s="3"/>
      <c r="AA40" s="3"/>
      <c r="AB40" s="3"/>
      <c r="AC40" s="3"/>
    </row>
    <row r="41" spans="1:33" ht="12.75" hidden="1" outlineLevel="1" x14ac:dyDescent="0.2">
      <c r="A41" s="5" t="s">
        <v>2</v>
      </c>
      <c r="B41" s="6">
        <v>362</v>
      </c>
      <c r="C41" s="6">
        <v>514</v>
      </c>
      <c r="D41" s="6">
        <v>179</v>
      </c>
      <c r="E41" s="6">
        <v>440</v>
      </c>
      <c r="F41" s="6">
        <v>393</v>
      </c>
      <c r="G41" s="6">
        <v>496</v>
      </c>
      <c r="H41" s="6">
        <v>182</v>
      </c>
      <c r="I41" s="6">
        <v>440</v>
      </c>
      <c r="J41" s="6">
        <v>382</v>
      </c>
      <c r="K41" s="6">
        <v>330</v>
      </c>
      <c r="L41" s="6">
        <v>430</v>
      </c>
      <c r="M41" s="6">
        <v>207</v>
      </c>
      <c r="N41" s="6">
        <v>431</v>
      </c>
      <c r="O41" s="6">
        <v>371</v>
      </c>
      <c r="P41" s="6">
        <v>570</v>
      </c>
      <c r="Q41" s="6">
        <v>190</v>
      </c>
      <c r="R41" s="6">
        <v>485</v>
      </c>
      <c r="S41" s="6">
        <v>371</v>
      </c>
      <c r="T41" s="6">
        <f>SUM(B41:J41)</f>
        <v>3388</v>
      </c>
      <c r="U41" s="6">
        <f>SUM(K41:S41)</f>
        <v>3385</v>
      </c>
      <c r="V41" s="6">
        <f>SUM(T41:U41)</f>
        <v>6773</v>
      </c>
      <c r="W41" s="7"/>
      <c r="X41" s="7"/>
      <c r="Y41" s="7"/>
      <c r="Z41" s="7"/>
      <c r="AA41" s="7"/>
      <c r="AB41" s="7"/>
      <c r="AC41" s="7"/>
    </row>
    <row r="42" spans="1:33" ht="12.75" hidden="1" outlineLevel="1" x14ac:dyDescent="0.2">
      <c r="A42" s="8" t="s">
        <v>3</v>
      </c>
      <c r="B42" s="9">
        <v>13</v>
      </c>
      <c r="C42" s="9">
        <v>7</v>
      </c>
      <c r="D42" s="9">
        <v>15</v>
      </c>
      <c r="E42" s="9">
        <v>3</v>
      </c>
      <c r="F42" s="9">
        <v>5</v>
      </c>
      <c r="G42" s="9">
        <v>9</v>
      </c>
      <c r="H42" s="9">
        <v>17</v>
      </c>
      <c r="I42" s="9">
        <v>1</v>
      </c>
      <c r="J42" s="9">
        <v>11</v>
      </c>
      <c r="K42" s="9">
        <v>10</v>
      </c>
      <c r="L42" s="9">
        <v>6</v>
      </c>
      <c r="M42" s="9">
        <v>8</v>
      </c>
      <c r="N42" s="9">
        <v>4</v>
      </c>
      <c r="O42" s="9">
        <v>12</v>
      </c>
      <c r="P42" s="9">
        <v>2</v>
      </c>
      <c r="Q42" s="9">
        <v>18</v>
      </c>
      <c r="R42" s="9">
        <v>16</v>
      </c>
      <c r="S42" s="9">
        <v>14</v>
      </c>
      <c r="T42" s="7"/>
      <c r="U42" s="7"/>
      <c r="V42" s="7"/>
      <c r="W42" s="7"/>
      <c r="X42" s="7"/>
      <c r="Y42" s="7"/>
      <c r="Z42" s="7"/>
      <c r="AA42" s="7"/>
      <c r="AB42" s="7"/>
      <c r="AC42" s="7"/>
    </row>
    <row r="43" spans="1:33" ht="12.75" hidden="1" outlineLevel="1" x14ac:dyDescent="0.2">
      <c r="A43" s="10" t="s">
        <v>8</v>
      </c>
      <c r="B43" s="11">
        <v>4</v>
      </c>
      <c r="C43" s="11">
        <v>5</v>
      </c>
      <c r="D43" s="11">
        <v>3</v>
      </c>
      <c r="E43" s="11">
        <v>4</v>
      </c>
      <c r="F43" s="11">
        <v>4</v>
      </c>
      <c r="G43" s="11">
        <v>5</v>
      </c>
      <c r="H43" s="11">
        <v>3</v>
      </c>
      <c r="I43" s="11">
        <v>4</v>
      </c>
      <c r="J43" s="11">
        <v>4</v>
      </c>
      <c r="K43" s="11">
        <v>4</v>
      </c>
      <c r="L43" s="11">
        <v>4</v>
      </c>
      <c r="M43" s="11">
        <v>3</v>
      </c>
      <c r="N43" s="11">
        <v>4</v>
      </c>
      <c r="O43" s="11">
        <v>4</v>
      </c>
      <c r="P43" s="11">
        <v>5</v>
      </c>
      <c r="Q43" s="11">
        <v>3</v>
      </c>
      <c r="R43" s="11">
        <v>5</v>
      </c>
      <c r="S43" s="11">
        <v>4</v>
      </c>
      <c r="T43" s="11">
        <v>36</v>
      </c>
      <c r="U43" s="11">
        <v>36</v>
      </c>
      <c r="V43" s="11">
        <v>72</v>
      </c>
      <c r="W43" s="7"/>
      <c r="X43" s="7"/>
      <c r="Y43" s="7"/>
      <c r="Z43" s="7"/>
      <c r="AA43" s="7"/>
      <c r="AB43" s="7"/>
      <c r="AC43" s="7"/>
    </row>
    <row r="44" spans="1:33" ht="12.75" hidden="1" outlineLevel="1" x14ac:dyDescent="0.2">
      <c r="A44" s="12" t="s">
        <v>9</v>
      </c>
      <c r="B44" s="13" t="s">
        <v>19</v>
      </c>
      <c r="C44" s="13" t="s">
        <v>20</v>
      </c>
      <c r="D44" s="13" t="s">
        <v>18</v>
      </c>
      <c r="E44" s="13" t="s">
        <v>16</v>
      </c>
      <c r="F44" s="13" t="s">
        <v>17</v>
      </c>
      <c r="G44" s="13" t="s">
        <v>21</v>
      </c>
      <c r="H44" s="13" t="s">
        <v>22</v>
      </c>
      <c r="I44" s="13" t="s">
        <v>23</v>
      </c>
      <c r="J44" s="13" t="s">
        <v>24</v>
      </c>
      <c r="K44" s="13" t="s">
        <v>25</v>
      </c>
      <c r="L44" s="13" t="s">
        <v>26</v>
      </c>
      <c r="M44" s="13" t="s">
        <v>27</v>
      </c>
      <c r="N44" s="13" t="s">
        <v>28</v>
      </c>
      <c r="O44" s="13" t="s">
        <v>29</v>
      </c>
      <c r="P44" s="13" t="s">
        <v>30</v>
      </c>
      <c r="Q44" s="13" t="s">
        <v>31</v>
      </c>
      <c r="R44" s="13" t="s">
        <v>32</v>
      </c>
      <c r="S44" s="13" t="s">
        <v>33</v>
      </c>
      <c r="T44" s="13" t="s">
        <v>5</v>
      </c>
      <c r="U44" s="13" t="s">
        <v>4</v>
      </c>
      <c r="V44" s="13" t="s">
        <v>34</v>
      </c>
      <c r="W44" s="13" t="s">
        <v>7</v>
      </c>
      <c r="X44" s="13" t="s">
        <v>6</v>
      </c>
      <c r="Y44" s="13" t="s">
        <v>35</v>
      </c>
      <c r="Z44" s="13" t="s">
        <v>81</v>
      </c>
      <c r="AA44" s="13" t="s">
        <v>39</v>
      </c>
      <c r="AB44" s="13" t="s">
        <v>38</v>
      </c>
      <c r="AC44" s="13" t="s">
        <v>11</v>
      </c>
    </row>
    <row r="45" spans="1:33" ht="12.75" hidden="1" outlineLevel="1" x14ac:dyDescent="0.2">
      <c r="A45" s="19" t="s">
        <v>47</v>
      </c>
      <c r="B45" s="14">
        <v>5</v>
      </c>
      <c r="C45" s="126">
        <v>5</v>
      </c>
      <c r="D45" s="126">
        <v>3</v>
      </c>
      <c r="E45" s="14">
        <v>6</v>
      </c>
      <c r="F45" s="14">
        <v>6</v>
      </c>
      <c r="G45" s="14">
        <v>9</v>
      </c>
      <c r="H45" s="14">
        <v>5</v>
      </c>
      <c r="I45" s="14">
        <v>4</v>
      </c>
      <c r="J45" s="14">
        <v>5</v>
      </c>
      <c r="K45" s="14">
        <v>4</v>
      </c>
      <c r="L45" s="14">
        <v>4</v>
      </c>
      <c r="M45" s="14">
        <v>4</v>
      </c>
      <c r="N45" s="14">
        <v>7</v>
      </c>
      <c r="O45" s="14">
        <v>4</v>
      </c>
      <c r="P45" s="14">
        <v>6</v>
      </c>
      <c r="Q45" s="126">
        <v>3</v>
      </c>
      <c r="R45" s="14">
        <v>7</v>
      </c>
      <c r="S45" s="14">
        <v>4</v>
      </c>
      <c r="T45" s="15">
        <f>SUM(Table111[[#This Row],[1]:[9]])</f>
        <v>48</v>
      </c>
      <c r="U45" s="15">
        <f>SUM(Table111[[#This Row],[10]:[18]])</f>
        <v>43</v>
      </c>
      <c r="V45" s="15">
        <f>SUM(Table111[[#This Row],[Out]:[In]])</f>
        <v>91</v>
      </c>
      <c r="W45" s="15">
        <f>IF(Table111[[#This Row],[Gross]]&gt;0,Table111[[#This Row],[Gross]]-Table111[[#This Row],[HCP]],0)</f>
        <v>81</v>
      </c>
      <c r="X45" s="15">
        <f>VLOOKUP(Table111[[#This Row],[Hole]],'Player Info'!A:C,3,0)</f>
        <v>10</v>
      </c>
      <c r="Y45" s="14" t="s">
        <v>78</v>
      </c>
      <c r="Z45" s="14">
        <v>0</v>
      </c>
      <c r="AA45" s="21">
        <v>3</v>
      </c>
      <c r="AB45" s="21">
        <v>1</v>
      </c>
      <c r="AC45" s="15" t="str">
        <f>VLOOKUP(Table111[[#This Row],[Hole]],'Player Info'!A:B,2,0)</f>
        <v>Danny</v>
      </c>
    </row>
    <row r="46" spans="1:33" ht="12.75" hidden="1" outlineLevel="1" x14ac:dyDescent="0.2">
      <c r="A46" s="19" t="s">
        <v>54</v>
      </c>
      <c r="B46" s="14">
        <v>6</v>
      </c>
      <c r="C46" s="14">
        <v>8</v>
      </c>
      <c r="D46" s="14">
        <v>7</v>
      </c>
      <c r="E46" s="71">
        <v>6</v>
      </c>
      <c r="F46" s="71">
        <v>5</v>
      </c>
      <c r="G46" s="14">
        <v>6</v>
      </c>
      <c r="H46" s="14">
        <v>5</v>
      </c>
      <c r="I46" s="71">
        <v>6</v>
      </c>
      <c r="J46" s="14">
        <v>5</v>
      </c>
      <c r="K46" s="14">
        <v>10</v>
      </c>
      <c r="L46" s="14">
        <v>5</v>
      </c>
      <c r="M46" s="14">
        <v>5</v>
      </c>
      <c r="N46" s="71">
        <v>7</v>
      </c>
      <c r="O46" s="14">
        <v>8</v>
      </c>
      <c r="P46" s="127">
        <v>6</v>
      </c>
      <c r="Q46" s="14">
        <v>10</v>
      </c>
      <c r="R46" s="126">
        <v>4</v>
      </c>
      <c r="S46" s="14">
        <v>6</v>
      </c>
      <c r="T46" s="15">
        <f>SUM(Table111[[#This Row],[1]:[9]])</f>
        <v>54</v>
      </c>
      <c r="U46" s="15">
        <f>SUM(Table111[[#This Row],[10]:[18]])</f>
        <v>61</v>
      </c>
      <c r="V46" s="15">
        <f>SUM(Table111[[#This Row],[Out]:[In]])</f>
        <v>115</v>
      </c>
      <c r="W46" s="15">
        <f>IF(Table111[[#This Row],[Gross]]&gt;0,Table111[[#This Row],[Gross]]-Table111[[#This Row],[HCP]],0)</f>
        <v>100</v>
      </c>
      <c r="X46" s="15">
        <f>VLOOKUP(Table111[[#This Row],[Hole]],'Player Info'!A:C,3,0)</f>
        <v>15</v>
      </c>
      <c r="Y46" s="14" t="s">
        <v>78</v>
      </c>
      <c r="Z46" s="14">
        <v>5</v>
      </c>
      <c r="AA46" s="21">
        <v>2</v>
      </c>
      <c r="AB46" s="21">
        <v>0</v>
      </c>
      <c r="AC46" s="15" t="str">
        <f>VLOOKUP(Table111[[#This Row],[Hole]],'Player Info'!A:B,2,0)</f>
        <v>Danny</v>
      </c>
    </row>
    <row r="47" spans="1:33" ht="12.75" hidden="1" outlineLevel="1" x14ac:dyDescent="0.2">
      <c r="A47" s="19" t="s">
        <v>48</v>
      </c>
      <c r="B47" s="126">
        <v>4</v>
      </c>
      <c r="C47" s="14">
        <v>6</v>
      </c>
      <c r="D47" s="14">
        <v>7</v>
      </c>
      <c r="E47" s="71">
        <v>6</v>
      </c>
      <c r="F47" s="127">
        <v>3</v>
      </c>
      <c r="G47" s="126">
        <v>5</v>
      </c>
      <c r="H47" s="126">
        <v>3</v>
      </c>
      <c r="I47" s="127">
        <v>4</v>
      </c>
      <c r="J47" s="14">
        <v>5</v>
      </c>
      <c r="K47" s="14">
        <v>4</v>
      </c>
      <c r="L47" s="71">
        <v>8</v>
      </c>
      <c r="M47" s="14">
        <v>7</v>
      </c>
      <c r="N47" s="71">
        <v>5</v>
      </c>
      <c r="O47" s="14">
        <v>4</v>
      </c>
      <c r="P47" s="71">
        <v>8</v>
      </c>
      <c r="Q47" s="14">
        <v>6</v>
      </c>
      <c r="R47" s="14">
        <v>8</v>
      </c>
      <c r="S47" s="14">
        <v>4</v>
      </c>
      <c r="T47" s="15">
        <f>SUM(Table111[[#This Row],[1]:[9]])</f>
        <v>43</v>
      </c>
      <c r="U47" s="15">
        <f>SUM(Table111[[#This Row],[10]:[18]])</f>
        <v>54</v>
      </c>
      <c r="V47" s="15">
        <f>SUM(Table111[[#This Row],[Out]:[In]])</f>
        <v>97</v>
      </c>
      <c r="W47" s="15">
        <f>IF(Table111[[#This Row],[Gross]]&gt;0,Table111[[#This Row],[Gross]]-Table111[[#This Row],[HCP]],0)</f>
        <v>81</v>
      </c>
      <c r="X47" s="15">
        <f>VLOOKUP(Table111[[#This Row],[Hole]],'Player Info'!A:C,3,0)</f>
        <v>16</v>
      </c>
      <c r="Y47" s="14" t="s">
        <v>78</v>
      </c>
      <c r="Z47" s="14">
        <v>6</v>
      </c>
      <c r="AA47" s="21">
        <v>5</v>
      </c>
      <c r="AB47" s="21">
        <v>2</v>
      </c>
      <c r="AC47" s="15" t="str">
        <f>VLOOKUP(Table111[[#This Row],[Hole]],'Player Info'!A:B,2,0)</f>
        <v>Matt</v>
      </c>
    </row>
    <row r="48" spans="1:33" ht="12.75" hidden="1" outlineLevel="1" x14ac:dyDescent="0.2">
      <c r="A48" s="19" t="s">
        <v>52</v>
      </c>
      <c r="B48" s="14">
        <v>6</v>
      </c>
      <c r="C48" s="14">
        <v>7</v>
      </c>
      <c r="D48" s="14">
        <v>5</v>
      </c>
      <c r="E48" s="71">
        <v>6</v>
      </c>
      <c r="F48" s="71">
        <v>4</v>
      </c>
      <c r="G48" s="14">
        <v>6</v>
      </c>
      <c r="H48" s="14">
        <v>8</v>
      </c>
      <c r="I48" s="71">
        <v>5</v>
      </c>
      <c r="J48" s="14">
        <v>6</v>
      </c>
      <c r="K48" s="14">
        <v>4</v>
      </c>
      <c r="L48" s="127">
        <v>5</v>
      </c>
      <c r="M48" s="126">
        <v>3</v>
      </c>
      <c r="N48" s="127">
        <v>4</v>
      </c>
      <c r="O48" s="14">
        <v>5</v>
      </c>
      <c r="P48" s="71">
        <v>9</v>
      </c>
      <c r="Q48" s="14">
        <v>4</v>
      </c>
      <c r="R48" s="14">
        <v>6</v>
      </c>
      <c r="S48" s="14">
        <v>5</v>
      </c>
      <c r="T48" s="15">
        <f>SUM(Table111[[#This Row],[1]:[9]])</f>
        <v>53</v>
      </c>
      <c r="U48" s="15">
        <f>SUM(Table111[[#This Row],[10]:[18]])</f>
        <v>45</v>
      </c>
      <c r="V48" s="15">
        <f>SUM(Table111[[#This Row],[Out]:[In]])</f>
        <v>98</v>
      </c>
      <c r="W48" s="15">
        <f>IF(Table111[[#This Row],[Gross]]&gt;0,Table111[[#This Row],[Gross]]-Table111[[#This Row],[HCP]],0)</f>
        <v>82</v>
      </c>
      <c r="X48" s="15">
        <f>VLOOKUP(Table111[[#This Row],[Hole]],'Player Info'!A:C,3,0)</f>
        <v>16</v>
      </c>
      <c r="Y48" s="14" t="s">
        <v>78</v>
      </c>
      <c r="Z48" s="14">
        <v>6</v>
      </c>
      <c r="AA48" s="21">
        <v>3</v>
      </c>
      <c r="AB48" s="21">
        <v>0</v>
      </c>
      <c r="AC48" s="15" t="str">
        <f>VLOOKUP(Table111[[#This Row],[Hole]],'Player Info'!A:B,2,0)</f>
        <v>Matt</v>
      </c>
    </row>
    <row r="49" spans="1:33" ht="12.75" hidden="1" outlineLevel="1" x14ac:dyDescent="0.2">
      <c r="A49" s="19" t="s">
        <v>36</v>
      </c>
      <c r="B49" s="14">
        <v>6</v>
      </c>
      <c r="C49" s="14">
        <v>5</v>
      </c>
      <c r="D49" s="14">
        <v>4</v>
      </c>
      <c r="E49" s="14">
        <v>5</v>
      </c>
      <c r="F49" s="14">
        <v>5</v>
      </c>
      <c r="G49" s="126">
        <v>4</v>
      </c>
      <c r="H49" s="14">
        <v>4</v>
      </c>
      <c r="I49" s="14">
        <v>6</v>
      </c>
      <c r="J49" s="14">
        <v>5</v>
      </c>
      <c r="K49" s="14">
        <v>7</v>
      </c>
      <c r="L49" s="14">
        <v>5</v>
      </c>
      <c r="M49" s="14">
        <v>4</v>
      </c>
      <c r="N49" s="14">
        <v>5</v>
      </c>
      <c r="O49" s="14">
        <v>6</v>
      </c>
      <c r="P49" s="14">
        <v>7</v>
      </c>
      <c r="Q49" s="126">
        <v>3</v>
      </c>
      <c r="R49" s="126">
        <v>5</v>
      </c>
      <c r="S49" s="14">
        <v>4</v>
      </c>
      <c r="T49" s="15">
        <f>SUM(Table111[[#This Row],[1]:[9]])</f>
        <v>44</v>
      </c>
      <c r="U49" s="15">
        <f>SUM(Table111[[#This Row],[10]:[18]])</f>
        <v>46</v>
      </c>
      <c r="V49" s="15">
        <f>SUM(Table111[[#This Row],[Out]:[In]])</f>
        <v>90</v>
      </c>
      <c r="W49" s="15">
        <f>IF(Table111[[#This Row],[Gross]]&gt;0,Table111[[#This Row],[Gross]]-Table111[[#This Row],[HCP]],0)</f>
        <v>84</v>
      </c>
      <c r="X49" s="15">
        <f>VLOOKUP(Table111[[#This Row],[Hole]],'Player Info'!A:C,3,0)</f>
        <v>6</v>
      </c>
      <c r="Y49" s="14" t="s">
        <v>79</v>
      </c>
      <c r="Z49" s="14">
        <v>0</v>
      </c>
      <c r="AA49" s="21">
        <v>3</v>
      </c>
      <c r="AB49" s="21">
        <v>1</v>
      </c>
      <c r="AC49" s="15" t="str">
        <f>VLOOKUP(Table111[[#This Row],[Hole]],'Player Info'!A:B,2,0)</f>
        <v>Danny</v>
      </c>
    </row>
    <row r="50" spans="1:33" ht="12.75" hidden="1" outlineLevel="1" x14ac:dyDescent="0.2">
      <c r="A50" s="19" t="s">
        <v>37</v>
      </c>
      <c r="B50" s="14">
        <v>6</v>
      </c>
      <c r="C50" s="14">
        <v>5</v>
      </c>
      <c r="D50" s="126">
        <v>3</v>
      </c>
      <c r="E50" s="14">
        <v>4</v>
      </c>
      <c r="F50" s="14">
        <v>5</v>
      </c>
      <c r="G50" s="14">
        <v>6</v>
      </c>
      <c r="H50" s="14">
        <v>4</v>
      </c>
      <c r="I50" s="71">
        <v>7</v>
      </c>
      <c r="J50" s="14">
        <v>6</v>
      </c>
      <c r="K50" s="14">
        <v>8</v>
      </c>
      <c r="L50" s="14">
        <v>5</v>
      </c>
      <c r="M50" s="71">
        <v>5</v>
      </c>
      <c r="N50" s="126">
        <v>3</v>
      </c>
      <c r="O50" s="14">
        <v>7</v>
      </c>
      <c r="P50" s="127">
        <v>5</v>
      </c>
      <c r="Q50" s="14">
        <v>5</v>
      </c>
      <c r="R50" s="14">
        <v>7</v>
      </c>
      <c r="S50" s="14">
        <v>4</v>
      </c>
      <c r="T50" s="15">
        <f>SUM(Table111[[#This Row],[1]:[9]])</f>
        <v>46</v>
      </c>
      <c r="U50" s="15">
        <f>SUM(Table111[[#This Row],[10]:[18]])</f>
        <v>49</v>
      </c>
      <c r="V50" s="15">
        <f>SUM(Table111[[#This Row],[Out]:[In]])</f>
        <v>95</v>
      </c>
      <c r="W50" s="15">
        <f>IF(Table111[[#This Row],[Gross]]&gt;0,Table111[[#This Row],[Gross]]-Table111[[#This Row],[HCP]],0)</f>
        <v>86</v>
      </c>
      <c r="X50" s="15">
        <f>VLOOKUP(Table111[[#This Row],[Hole]],'Player Info'!A:C,3,0)</f>
        <v>9</v>
      </c>
      <c r="Y50" s="14" t="s">
        <v>79</v>
      </c>
      <c r="Z50" s="14">
        <v>3</v>
      </c>
      <c r="AA50" s="21">
        <v>3</v>
      </c>
      <c r="AB50" s="21">
        <v>0</v>
      </c>
      <c r="AC50" s="15" t="str">
        <f>VLOOKUP(Table111[[#This Row],[Hole]],'Player Info'!A:B,2,0)</f>
        <v>Danny</v>
      </c>
    </row>
    <row r="51" spans="1:33" ht="12.75" hidden="1" outlineLevel="1" x14ac:dyDescent="0.2">
      <c r="A51" s="19" t="s">
        <v>14</v>
      </c>
      <c r="B51" s="14">
        <v>6</v>
      </c>
      <c r="C51" s="14">
        <v>6</v>
      </c>
      <c r="D51" s="14">
        <v>5</v>
      </c>
      <c r="E51" s="126">
        <v>3</v>
      </c>
      <c r="F51" s="14">
        <v>5</v>
      </c>
      <c r="G51" s="14">
        <v>5</v>
      </c>
      <c r="H51" s="14">
        <v>5</v>
      </c>
      <c r="I51" s="14">
        <v>5</v>
      </c>
      <c r="J51" s="14">
        <v>6</v>
      </c>
      <c r="K51" s="126">
        <v>4</v>
      </c>
      <c r="L51" s="14">
        <v>5</v>
      </c>
      <c r="M51" s="14">
        <v>4</v>
      </c>
      <c r="N51" s="14">
        <v>5</v>
      </c>
      <c r="O51" s="74">
        <v>4</v>
      </c>
      <c r="P51" s="14">
        <v>7</v>
      </c>
      <c r="Q51" s="14">
        <v>5</v>
      </c>
      <c r="R51" s="14">
        <v>6</v>
      </c>
      <c r="S51" s="14">
        <v>5</v>
      </c>
      <c r="T51" s="15">
        <f>SUM(Table111[[#This Row],[1]:[9]])</f>
        <v>46</v>
      </c>
      <c r="U51" s="15">
        <f>SUM(Table111[[#This Row],[10]:[18]])</f>
        <v>45</v>
      </c>
      <c r="V51" s="15">
        <f>SUM(Table111[[#This Row],[Out]:[In]])</f>
        <v>91</v>
      </c>
      <c r="W51" s="15">
        <f>IF(Table111[[#This Row],[Gross]]&gt;0,Table111[[#This Row],[Gross]]-Table111[[#This Row],[HCP]],0)</f>
        <v>85</v>
      </c>
      <c r="X51" s="15">
        <f>VLOOKUP(Table111[[#This Row],[Hole]],'Player Info'!A:C,3,0)</f>
        <v>6</v>
      </c>
      <c r="Y51" s="14" t="s">
        <v>79</v>
      </c>
      <c r="Z51" s="14">
        <v>0</v>
      </c>
      <c r="AA51" s="21">
        <v>3</v>
      </c>
      <c r="AB51" s="21">
        <v>0</v>
      </c>
      <c r="AC51" s="15" t="str">
        <f>VLOOKUP(Table111[[#This Row],[Hole]],'Player Info'!A:B,2,0)</f>
        <v>Eric</v>
      </c>
    </row>
    <row r="52" spans="1:33" ht="12.75" hidden="1" outlineLevel="1" x14ac:dyDescent="0.2">
      <c r="A52" s="19" t="s">
        <v>51</v>
      </c>
      <c r="B52" s="128">
        <v>5</v>
      </c>
      <c r="C52" s="129">
        <v>5</v>
      </c>
      <c r="D52" s="16">
        <v>4</v>
      </c>
      <c r="E52" s="76">
        <v>6</v>
      </c>
      <c r="F52" s="76">
        <v>6</v>
      </c>
      <c r="G52" s="16">
        <v>9</v>
      </c>
      <c r="H52" s="16">
        <v>4</v>
      </c>
      <c r="I52" s="76">
        <v>6</v>
      </c>
      <c r="J52" s="128">
        <v>4</v>
      </c>
      <c r="K52" s="16">
        <v>5</v>
      </c>
      <c r="L52" s="129">
        <v>5</v>
      </c>
      <c r="M52" s="129">
        <v>4</v>
      </c>
      <c r="N52" s="76">
        <v>7</v>
      </c>
      <c r="O52" s="16">
        <v>5</v>
      </c>
      <c r="P52" s="76">
        <v>7</v>
      </c>
      <c r="Q52" s="16">
        <v>4</v>
      </c>
      <c r="R52" s="16">
        <v>8</v>
      </c>
      <c r="S52" s="16">
        <v>6</v>
      </c>
      <c r="T52" s="17">
        <f>SUM(Table111[[#This Row],[1]:[9]])</f>
        <v>49</v>
      </c>
      <c r="U52" s="17">
        <f>SUM(Table111[[#This Row],[10]:[18]])</f>
        <v>51</v>
      </c>
      <c r="V52" s="17">
        <f>SUM(Table111[[#This Row],[Out]:[In]])</f>
        <v>100</v>
      </c>
      <c r="W52" s="15">
        <f>IF(Table111[[#This Row],[Gross]]&gt;0,Table111[[#This Row],[Gross]]-Table111[[#This Row],[HCP]],0)</f>
        <v>86</v>
      </c>
      <c r="X52" s="15">
        <f>VLOOKUP(Table111[[#This Row],[Hole]],'Player Info'!A:C,3,0)</f>
        <v>14</v>
      </c>
      <c r="Y52" s="14" t="s">
        <v>79</v>
      </c>
      <c r="Z52" s="16">
        <v>8</v>
      </c>
      <c r="AA52" s="21">
        <v>5</v>
      </c>
      <c r="AB52" s="21">
        <v>2</v>
      </c>
      <c r="AC52" s="15" t="str">
        <f>VLOOKUP(Table111[[#This Row],[Hole]],'Player Info'!A:B,2,0)</f>
        <v>Eric</v>
      </c>
    </row>
    <row r="53" spans="1:33" ht="12.75" hidden="1" outlineLevel="1" x14ac:dyDescent="0.2">
      <c r="A53" s="19" t="s">
        <v>50</v>
      </c>
      <c r="B53" s="126">
        <v>3</v>
      </c>
      <c r="C53" s="127">
        <v>5</v>
      </c>
      <c r="D53" s="14">
        <v>4</v>
      </c>
      <c r="E53" s="71">
        <v>6</v>
      </c>
      <c r="F53" s="127">
        <v>4</v>
      </c>
      <c r="G53" s="126">
        <v>5</v>
      </c>
      <c r="H53" s="14">
        <v>4</v>
      </c>
      <c r="I53" s="71">
        <v>6</v>
      </c>
      <c r="J53" s="14">
        <v>6</v>
      </c>
      <c r="K53" s="14">
        <v>7</v>
      </c>
      <c r="L53" s="71">
        <v>6</v>
      </c>
      <c r="M53" s="14">
        <v>4</v>
      </c>
      <c r="N53" s="71">
        <v>5</v>
      </c>
      <c r="O53" s="14">
        <v>4</v>
      </c>
      <c r="P53" s="71">
        <v>6</v>
      </c>
      <c r="Q53" s="14">
        <v>4</v>
      </c>
      <c r="R53" s="14">
        <v>6</v>
      </c>
      <c r="S53" s="126">
        <v>3</v>
      </c>
      <c r="T53" s="15">
        <f>SUM(Table111[[#This Row],[1]:[9]])</f>
        <v>43</v>
      </c>
      <c r="U53" s="15">
        <f>SUM(Table111[[#This Row],[10]:[18]])</f>
        <v>45</v>
      </c>
      <c r="V53" s="15">
        <f>SUM(Table111[[#This Row],[Out]:[In]])</f>
        <v>88</v>
      </c>
      <c r="W53" s="15">
        <f>IF(Table111[[#This Row],[Gross]]&gt;0,Table111[[#This Row],[Gross]]-Table111[[#This Row],[HCP]],0)</f>
        <v>78</v>
      </c>
      <c r="X53" s="15">
        <f>VLOOKUP(Table111[[#This Row],[Hole]],'Player Info'!A:C,3,0)</f>
        <v>10</v>
      </c>
      <c r="Y53" s="14" t="s">
        <v>80</v>
      </c>
      <c r="Z53" s="14">
        <v>7</v>
      </c>
      <c r="AA53" s="21">
        <v>5</v>
      </c>
      <c r="AB53" s="21">
        <v>2</v>
      </c>
      <c r="AC53" s="15" t="str">
        <f>VLOOKUP(Table111[[#This Row],[Hole]],'Player Info'!A:B,2,0)</f>
        <v>Eric</v>
      </c>
    </row>
    <row r="54" spans="1:33" ht="12.75" hidden="1" outlineLevel="1" x14ac:dyDescent="0.2">
      <c r="A54" s="19" t="s">
        <v>15</v>
      </c>
      <c r="B54" s="14">
        <v>7</v>
      </c>
      <c r="C54" s="71">
        <v>8</v>
      </c>
      <c r="D54" s="14">
        <v>5</v>
      </c>
      <c r="E54" s="71">
        <v>9</v>
      </c>
      <c r="F54" s="71">
        <v>7</v>
      </c>
      <c r="G54" s="71">
        <v>7</v>
      </c>
      <c r="H54" s="14">
        <v>6</v>
      </c>
      <c r="I54" s="71">
        <v>8</v>
      </c>
      <c r="J54" s="71">
        <v>7</v>
      </c>
      <c r="K54" s="71">
        <v>8</v>
      </c>
      <c r="L54" s="71">
        <v>7</v>
      </c>
      <c r="M54" s="71">
        <v>4</v>
      </c>
      <c r="N54" s="71">
        <v>6</v>
      </c>
      <c r="O54" s="71">
        <v>6</v>
      </c>
      <c r="P54" s="71">
        <v>6</v>
      </c>
      <c r="Q54" s="14">
        <v>4</v>
      </c>
      <c r="R54" s="14">
        <v>8</v>
      </c>
      <c r="S54" s="14">
        <v>6</v>
      </c>
      <c r="T54" s="15">
        <f>SUM(Table111[[#This Row],[1]:[9]])</f>
        <v>64</v>
      </c>
      <c r="U54" s="15">
        <f>SUM(Table111[[#This Row],[10]:[18]])</f>
        <v>55</v>
      </c>
      <c r="V54" s="15">
        <f>SUM(Table111[[#This Row],[Out]:[In]])</f>
        <v>119</v>
      </c>
      <c r="W54" s="15">
        <f>IF(Table111[[#This Row],[Gross]]&gt;0,Table111[[#This Row],[Gross]]-Table111[[#This Row],[HCP]],0)</f>
        <v>104</v>
      </c>
      <c r="X54" s="15">
        <f>VLOOKUP(Table111[[#This Row],[Hole]],'Player Info'!A:C,3,0)</f>
        <v>15</v>
      </c>
      <c r="Y54" s="14" t="s">
        <v>80</v>
      </c>
      <c r="Z54" s="14">
        <v>12</v>
      </c>
      <c r="AA54" s="21">
        <v>0</v>
      </c>
      <c r="AB54" s="21">
        <v>0</v>
      </c>
      <c r="AC54" s="15" t="str">
        <f>VLOOKUP(Table111[[#This Row],[Hole]],'Player Info'!A:B,2,0)</f>
        <v>Eric</v>
      </c>
    </row>
    <row r="55" spans="1:33" ht="12.75" hidden="1" outlineLevel="1" x14ac:dyDescent="0.2">
      <c r="A55" s="19" t="s">
        <v>49</v>
      </c>
      <c r="B55" s="14">
        <v>6</v>
      </c>
      <c r="C55" s="14">
        <v>5</v>
      </c>
      <c r="D55" s="14">
        <v>5</v>
      </c>
      <c r="E55" s="14">
        <v>4</v>
      </c>
      <c r="F55" s="14">
        <v>7</v>
      </c>
      <c r="G55" s="14">
        <v>7</v>
      </c>
      <c r="H55" s="126">
        <v>3</v>
      </c>
      <c r="I55" s="14">
        <v>6</v>
      </c>
      <c r="J55" s="14">
        <v>5</v>
      </c>
      <c r="K55" s="14">
        <v>4</v>
      </c>
      <c r="L55" s="126">
        <v>4</v>
      </c>
      <c r="M55" s="14">
        <v>4</v>
      </c>
      <c r="N55" s="14">
        <v>4</v>
      </c>
      <c r="O55" s="14">
        <v>4</v>
      </c>
      <c r="P55" s="14">
        <v>5</v>
      </c>
      <c r="Q55" s="14">
        <v>4</v>
      </c>
      <c r="R55" s="14">
        <v>6</v>
      </c>
      <c r="S55" s="14">
        <v>4</v>
      </c>
      <c r="T55" s="15">
        <f>SUM(Table111[[#This Row],[1]:[9]])</f>
        <v>48</v>
      </c>
      <c r="U55" s="15">
        <f>SUM(Table111[[#This Row],[10]:[18]])</f>
        <v>39</v>
      </c>
      <c r="V55" s="15">
        <f>SUM(Table111[[#This Row],[Out]:[In]])</f>
        <v>87</v>
      </c>
      <c r="W55" s="15">
        <f>IF(Table111[[#This Row],[Gross]]&gt;0,Table111[[#This Row],[Gross]]-Table111[[#This Row],[HCP]],0)</f>
        <v>84</v>
      </c>
      <c r="X55" s="15">
        <f>VLOOKUP(Table111[[#This Row],[Hole]],'Player Info'!A:C,3,0)</f>
        <v>3</v>
      </c>
      <c r="Y55" s="14" t="s">
        <v>80</v>
      </c>
      <c r="Z55" s="14">
        <v>0</v>
      </c>
      <c r="AA55" s="21">
        <v>2</v>
      </c>
      <c r="AB55" s="21">
        <v>0</v>
      </c>
      <c r="AC55" s="15" t="str">
        <f>VLOOKUP(Table111[[#This Row],[Hole]],'Player Info'!A:B,2,0)</f>
        <v>Matt</v>
      </c>
    </row>
    <row r="56" spans="1:33" ht="12.75" hidden="1" outlineLevel="1" x14ac:dyDescent="0.2">
      <c r="A56" s="19" t="s">
        <v>45</v>
      </c>
      <c r="B56" s="14">
        <v>5</v>
      </c>
      <c r="C56" s="14">
        <v>5</v>
      </c>
      <c r="D56" s="14">
        <v>4</v>
      </c>
      <c r="E56" s="127">
        <v>4</v>
      </c>
      <c r="F56" s="14">
        <v>4</v>
      </c>
      <c r="G56" s="14">
        <v>6</v>
      </c>
      <c r="H56" s="14">
        <v>5</v>
      </c>
      <c r="I56" s="127">
        <v>4</v>
      </c>
      <c r="J56" s="126">
        <v>4</v>
      </c>
      <c r="K56" s="14">
        <v>4</v>
      </c>
      <c r="L56" s="14">
        <v>6</v>
      </c>
      <c r="M56" s="14">
        <v>3</v>
      </c>
      <c r="N56" s="14">
        <v>7</v>
      </c>
      <c r="O56" s="14">
        <v>6</v>
      </c>
      <c r="P56" s="127">
        <v>5</v>
      </c>
      <c r="Q56" s="14">
        <v>5</v>
      </c>
      <c r="R56" s="126">
        <v>5</v>
      </c>
      <c r="S56" s="14">
        <v>5</v>
      </c>
      <c r="T56" s="15">
        <f>SUM(Table111[[#This Row],[1]:[9]])</f>
        <v>41</v>
      </c>
      <c r="U56" s="15">
        <f>SUM(Table111[[#This Row],[10]:[18]])</f>
        <v>46</v>
      </c>
      <c r="V56" s="15">
        <f>SUM(Table111[[#This Row],[Out]:[In]])</f>
        <v>87</v>
      </c>
      <c r="W56" s="15">
        <f>IF(Table111[[#This Row],[Gross]]&gt;0,Table111[[#This Row],[Gross]]-Table111[[#This Row],[HCP]],0)</f>
        <v>81</v>
      </c>
      <c r="X56" s="15">
        <f>VLOOKUP(Table111[[#This Row],[Hole]],'Player Info'!A:C,3,0)</f>
        <v>6</v>
      </c>
      <c r="Y56" s="14" t="s">
        <v>80</v>
      </c>
      <c r="Z56" s="14">
        <v>3</v>
      </c>
      <c r="AA56" s="21">
        <v>5</v>
      </c>
      <c r="AB56" s="21">
        <v>1</v>
      </c>
      <c r="AC56" s="15" t="str">
        <f>VLOOKUP(Table111[[#This Row],[Hole]],'Player Info'!A:B,2,0)</f>
        <v>Matt</v>
      </c>
    </row>
    <row r="57" spans="1:33" collapsed="1" x14ac:dyDescent="0.25"/>
    <row r="58" spans="1:33" x14ac:dyDescent="0.25">
      <c r="A58" s="78" t="s">
        <v>98</v>
      </c>
      <c r="B58" s="79"/>
      <c r="C58" s="79"/>
      <c r="D58" s="79"/>
      <c r="E58" s="79"/>
      <c r="F58" s="79"/>
      <c r="G58" s="79"/>
      <c r="H58" s="79"/>
      <c r="I58" s="79"/>
      <c r="J58" s="79"/>
      <c r="K58" s="79"/>
      <c r="L58" s="79"/>
      <c r="M58" s="79"/>
      <c r="N58" s="79"/>
      <c r="O58" s="79"/>
      <c r="P58" s="79"/>
      <c r="Q58" s="79"/>
      <c r="R58" s="79"/>
      <c r="S58" s="79"/>
      <c r="T58" s="79"/>
      <c r="U58" s="79"/>
      <c r="V58" s="79"/>
      <c r="W58" s="79"/>
      <c r="X58" s="79"/>
      <c r="Y58" s="80"/>
      <c r="Z58" s="79"/>
      <c r="AA58" s="78"/>
      <c r="AB58" s="81"/>
      <c r="AC58" s="81"/>
    </row>
    <row r="59" spans="1:33" ht="12.75" hidden="1" outlineLevel="1" x14ac:dyDescent="0.2">
      <c r="A59" s="1" t="s">
        <v>0</v>
      </c>
      <c r="B59" s="2" t="s">
        <v>94</v>
      </c>
      <c r="T59" s="4"/>
      <c r="U59" s="4"/>
      <c r="V59" s="4"/>
      <c r="W59" s="4"/>
      <c r="X59" s="4"/>
      <c r="Y59" s="4"/>
      <c r="Z59" s="4"/>
      <c r="AB59" s="4"/>
      <c r="AC59" s="4"/>
      <c r="AF59" s="4"/>
      <c r="AG59" s="4"/>
    </row>
    <row r="60" spans="1:33" ht="12.75" hidden="1" outlineLevel="1" x14ac:dyDescent="0.2">
      <c r="A60" s="8" t="s">
        <v>96</v>
      </c>
      <c r="B60" s="9">
        <v>506</v>
      </c>
      <c r="C60" s="9">
        <v>439</v>
      </c>
      <c r="D60" s="9">
        <v>370</v>
      </c>
      <c r="E60" s="9">
        <v>508</v>
      </c>
      <c r="F60" s="9">
        <v>403</v>
      </c>
      <c r="G60" s="9">
        <v>190</v>
      </c>
      <c r="H60" s="9">
        <v>416</v>
      </c>
      <c r="I60" s="9">
        <v>199</v>
      </c>
      <c r="J60" s="9">
        <v>375</v>
      </c>
      <c r="K60" s="9">
        <f>SUM(B60:J60)</f>
        <v>3406</v>
      </c>
      <c r="L60" s="7"/>
      <c r="M60" s="7"/>
      <c r="N60" s="7"/>
      <c r="O60" s="7"/>
      <c r="P60" s="7"/>
      <c r="Q60" s="7"/>
      <c r="R60" s="7"/>
      <c r="S60" s="7"/>
      <c r="T60" s="4"/>
      <c r="U60" s="4"/>
      <c r="V60" s="4"/>
      <c r="W60" s="4"/>
      <c r="X60" s="4"/>
      <c r="Y60" s="4"/>
      <c r="Z60" s="4"/>
      <c r="AB60" s="4"/>
      <c r="AC60" s="4"/>
      <c r="AF60" s="4"/>
      <c r="AG60" s="4"/>
    </row>
    <row r="61" spans="1:33" ht="12.75" hidden="1" outlineLevel="1" x14ac:dyDescent="0.2">
      <c r="A61" s="5" t="s">
        <v>3</v>
      </c>
      <c r="B61" s="6">
        <v>17</v>
      </c>
      <c r="C61" s="6">
        <v>3</v>
      </c>
      <c r="D61" s="6">
        <v>13</v>
      </c>
      <c r="E61" s="6">
        <v>1</v>
      </c>
      <c r="F61" s="6">
        <v>11</v>
      </c>
      <c r="G61" s="6">
        <v>15</v>
      </c>
      <c r="H61" s="6">
        <v>7</v>
      </c>
      <c r="I61" s="6">
        <v>5</v>
      </c>
      <c r="J61" s="6">
        <v>9</v>
      </c>
      <c r="K61" s="7"/>
      <c r="L61" s="7"/>
      <c r="M61" s="7"/>
      <c r="N61" s="7"/>
      <c r="O61" s="7"/>
      <c r="P61" s="7"/>
      <c r="Q61" s="7"/>
      <c r="R61" s="7"/>
      <c r="S61" s="7"/>
      <c r="T61" s="4"/>
      <c r="U61" s="4"/>
      <c r="V61" s="4"/>
      <c r="W61" s="4"/>
      <c r="X61" s="4"/>
      <c r="Y61" s="4"/>
      <c r="Z61" s="4"/>
      <c r="AB61" s="4"/>
      <c r="AC61" s="4"/>
      <c r="AF61" s="4"/>
      <c r="AG61" s="4"/>
    </row>
    <row r="62" spans="1:33" ht="12.75" hidden="1" outlineLevel="1" x14ac:dyDescent="0.2">
      <c r="A62" s="10" t="s">
        <v>8</v>
      </c>
      <c r="B62" s="11">
        <v>5</v>
      </c>
      <c r="C62" s="11">
        <v>4</v>
      </c>
      <c r="D62" s="11">
        <v>4</v>
      </c>
      <c r="E62" s="11">
        <v>5</v>
      </c>
      <c r="F62" s="11">
        <v>4</v>
      </c>
      <c r="G62" s="11">
        <v>3</v>
      </c>
      <c r="H62" s="11">
        <v>4</v>
      </c>
      <c r="I62" s="11">
        <v>3</v>
      </c>
      <c r="J62" s="11">
        <v>4</v>
      </c>
      <c r="K62" s="11"/>
      <c r="L62" s="11"/>
      <c r="M62" s="7"/>
      <c r="N62" s="7"/>
      <c r="O62" s="7"/>
      <c r="P62" s="7"/>
      <c r="Q62" s="7"/>
      <c r="R62" s="7"/>
      <c r="S62" s="7"/>
      <c r="T62" s="4"/>
      <c r="U62" s="4"/>
      <c r="V62" s="4"/>
      <c r="W62" s="4"/>
      <c r="X62" s="4"/>
      <c r="Y62" s="4"/>
      <c r="Z62" s="4"/>
      <c r="AB62" s="4"/>
      <c r="AC62" s="4"/>
      <c r="AF62" s="4"/>
      <c r="AG62" s="4"/>
    </row>
    <row r="63" spans="1:33" ht="12.75" hidden="1" outlineLevel="1" x14ac:dyDescent="0.2">
      <c r="A63" s="12" t="s">
        <v>9</v>
      </c>
      <c r="B63" s="13" t="s">
        <v>19</v>
      </c>
      <c r="C63" s="13" t="s">
        <v>20</v>
      </c>
      <c r="D63" s="13" t="s">
        <v>18</v>
      </c>
      <c r="E63" s="13" t="s">
        <v>16</v>
      </c>
      <c r="F63" s="13" t="s">
        <v>17</v>
      </c>
      <c r="G63" s="13" t="s">
        <v>21</v>
      </c>
      <c r="H63" s="13" t="s">
        <v>22</v>
      </c>
      <c r="I63" s="13" t="s">
        <v>23</v>
      </c>
      <c r="J63" s="13" t="s">
        <v>24</v>
      </c>
      <c r="K63" s="13" t="s">
        <v>5</v>
      </c>
      <c r="L63" s="13" t="s">
        <v>34</v>
      </c>
      <c r="M63" s="13" t="s">
        <v>7</v>
      </c>
      <c r="N63" s="13" t="s">
        <v>6</v>
      </c>
      <c r="O63" s="13" t="s">
        <v>35</v>
      </c>
      <c r="P63" s="13" t="s">
        <v>81</v>
      </c>
      <c r="Q63" s="13" t="s">
        <v>85</v>
      </c>
      <c r="R63" s="13" t="s">
        <v>38</v>
      </c>
      <c r="S63" s="13" t="s">
        <v>11</v>
      </c>
      <c r="T63" s="4"/>
      <c r="U63" s="4"/>
      <c r="V63" s="4"/>
      <c r="W63" s="4"/>
      <c r="X63" s="4"/>
      <c r="Y63" s="4"/>
      <c r="Z63" s="4"/>
      <c r="AB63" s="4"/>
      <c r="AC63" s="4"/>
      <c r="AF63" s="4"/>
      <c r="AG63" s="4"/>
    </row>
    <row r="64" spans="1:33" ht="12.75" hidden="1" outlineLevel="1" x14ac:dyDescent="0.2">
      <c r="A64" s="19" t="s">
        <v>47</v>
      </c>
      <c r="B64" s="14"/>
      <c r="C64" s="77"/>
      <c r="D64" s="74"/>
      <c r="E64" s="77"/>
      <c r="F64" s="74"/>
      <c r="G64" s="74"/>
      <c r="H64" s="74"/>
      <c r="I64" s="74"/>
      <c r="J64" s="14"/>
      <c r="K64" s="15">
        <f>SUM(Table1918[[#This Row],[1]:[9]])</f>
        <v>0</v>
      </c>
      <c r="L64" s="15">
        <f>Table1918[[#This Row],[Out]]</f>
        <v>0</v>
      </c>
      <c r="M64" s="75">
        <f>IF(Table1918[[#This Row],[Gross]]&gt;0,Table1918[[#This Row],[Gross]]-Table1918[[#This Row],[HCP]],0)</f>
        <v>0</v>
      </c>
      <c r="N64" s="75">
        <f>VLOOKUP(Table1918[[#This Row],[Hole]],'Player Info'!A:C,3,0)/2</f>
        <v>5</v>
      </c>
      <c r="O64" s="14" t="s">
        <v>78</v>
      </c>
      <c r="P64" s="14">
        <v>2</v>
      </c>
      <c r="Q64" s="21"/>
      <c r="R64" s="21">
        <v>1</v>
      </c>
      <c r="S64" s="15" t="str">
        <f>VLOOKUP(Table1918[[#This Row],[Hole]],'Player Info'!A:B,2,0)</f>
        <v>Danny</v>
      </c>
      <c r="T64" s="4"/>
      <c r="U64" s="4"/>
      <c r="V64" s="4"/>
      <c r="W64" s="4"/>
      <c r="X64" s="4"/>
      <c r="Y64" s="4"/>
      <c r="Z64" s="4"/>
      <c r="AB64" s="4"/>
      <c r="AC64" s="4"/>
      <c r="AF64" s="4"/>
      <c r="AG64" s="4"/>
    </row>
    <row r="65" spans="1:33" ht="12.75" hidden="1" outlineLevel="1" x14ac:dyDescent="0.2">
      <c r="A65" s="19" t="s">
        <v>37</v>
      </c>
      <c r="B65" s="14"/>
      <c r="C65" s="77"/>
      <c r="D65" s="74"/>
      <c r="E65" s="77"/>
      <c r="F65" s="74"/>
      <c r="G65" s="74"/>
      <c r="H65" s="74"/>
      <c r="I65" s="74"/>
      <c r="J65" s="74"/>
      <c r="K65" s="15">
        <f>SUM(Table1918[[#This Row],[1]:[9]])</f>
        <v>0</v>
      </c>
      <c r="L65" s="15">
        <f>Table1918[[#This Row],[Out]]</f>
        <v>0</v>
      </c>
      <c r="M65" s="75">
        <f>IF(Table1918[[#This Row],[Gross]]&gt;0,Table1918[[#This Row],[Gross]]-Table1918[[#This Row],[HCP]],0)</f>
        <v>0</v>
      </c>
      <c r="N65" s="75">
        <f>VLOOKUP(Table1918[[#This Row],[Hole]],'Player Info'!A:C,3,0)/2</f>
        <v>4.5</v>
      </c>
      <c r="O65" s="14" t="s">
        <v>78</v>
      </c>
      <c r="P65" s="14">
        <v>2</v>
      </c>
      <c r="Q65" s="21"/>
      <c r="R65" s="21">
        <v>1</v>
      </c>
      <c r="S65" s="15" t="str">
        <f>VLOOKUP(Table1918[[#This Row],[Hole]],'Player Info'!A:B,2,0)</f>
        <v>Danny</v>
      </c>
      <c r="T65" s="4"/>
      <c r="U65" s="4"/>
      <c r="V65" s="4"/>
      <c r="W65" s="4"/>
      <c r="X65" s="4"/>
      <c r="Y65" s="4"/>
      <c r="Z65" s="4"/>
      <c r="AB65" s="4"/>
      <c r="AC65" s="4"/>
      <c r="AF65" s="4"/>
      <c r="AG65" s="4"/>
    </row>
    <row r="66" spans="1:33" ht="12.75" hidden="1" outlineLevel="1" x14ac:dyDescent="0.2">
      <c r="A66" s="19" t="s">
        <v>14</v>
      </c>
      <c r="B66" s="14"/>
      <c r="C66" s="74"/>
      <c r="D66" s="74"/>
      <c r="E66" s="74"/>
      <c r="F66" s="74"/>
      <c r="G66" s="74"/>
      <c r="H66" s="74"/>
      <c r="I66" s="74"/>
      <c r="J66" s="14"/>
      <c r="K66" s="15">
        <f>SUM(Table1918[[#This Row],[1]:[9]])</f>
        <v>0</v>
      </c>
      <c r="L66" s="15">
        <f>Table1918[[#This Row],[Out]]</f>
        <v>0</v>
      </c>
      <c r="M66" s="75">
        <f>IF(Table1918[[#This Row],[Gross]]&gt;0,Table1918[[#This Row],[Gross]]-Table1918[[#This Row],[HCP]],0)</f>
        <v>0</v>
      </c>
      <c r="N66" s="75">
        <f>VLOOKUP(Table1918[[#This Row],[Hole]],'Player Info'!A:C,3,0)/2</f>
        <v>3</v>
      </c>
      <c r="O66" s="14" t="s">
        <v>78</v>
      </c>
      <c r="P66" s="14">
        <v>0</v>
      </c>
      <c r="Q66" s="21"/>
      <c r="R66" s="21"/>
      <c r="S66" s="15" t="str">
        <f>VLOOKUP(Table1918[[#This Row],[Hole]],'Player Info'!A:B,2,0)</f>
        <v>Eric</v>
      </c>
      <c r="T66" s="4"/>
      <c r="U66" s="4"/>
      <c r="V66" s="4"/>
      <c r="W66" s="4"/>
      <c r="X66" s="4"/>
      <c r="Y66" s="4"/>
      <c r="Z66" s="4"/>
      <c r="AB66" s="4"/>
      <c r="AC66" s="4"/>
      <c r="AF66" s="4"/>
      <c r="AG66" s="4"/>
    </row>
    <row r="67" spans="1:33" ht="12.75" hidden="1" outlineLevel="1" x14ac:dyDescent="0.2">
      <c r="A67" s="19" t="s">
        <v>15</v>
      </c>
      <c r="B67" s="14"/>
      <c r="C67" s="71"/>
      <c r="D67" s="14"/>
      <c r="E67" s="71"/>
      <c r="F67" s="14"/>
      <c r="G67" s="14"/>
      <c r="H67" s="71"/>
      <c r="I67" s="71"/>
      <c r="J67" s="71"/>
      <c r="K67" s="15">
        <f>SUM(Table1918[[#This Row],[1]:[9]])</f>
        <v>0</v>
      </c>
      <c r="L67" s="15">
        <f>Table1918[[#This Row],[Out]]</f>
        <v>0</v>
      </c>
      <c r="M67" s="75">
        <f>IF(Table1918[[#This Row],[Gross]]&gt;0,Table1918[[#This Row],[Gross]]-Table1918[[#This Row],[HCP]],0)</f>
        <v>0</v>
      </c>
      <c r="N67" s="75">
        <f>VLOOKUP(Table1918[[#This Row],[Hole]],'Player Info'!A:C,3,0)/2</f>
        <v>7.5</v>
      </c>
      <c r="O67" s="14" t="s">
        <v>78</v>
      </c>
      <c r="P67" s="14">
        <v>5</v>
      </c>
      <c r="Q67" s="21"/>
      <c r="R67" s="21"/>
      <c r="S67" s="15" t="str">
        <f>VLOOKUP(Table1918[[#This Row],[Hole]],'Player Info'!A:B,2,0)</f>
        <v>Eric</v>
      </c>
      <c r="T67" s="4"/>
      <c r="U67" s="4"/>
      <c r="V67" s="4"/>
      <c r="W67" s="4"/>
      <c r="X67" s="4"/>
      <c r="Y67" s="4"/>
      <c r="Z67" s="4"/>
      <c r="AB67" s="4"/>
      <c r="AC67" s="4"/>
      <c r="AF67" s="4"/>
      <c r="AG67" s="4"/>
    </row>
    <row r="68" spans="1:33" ht="12.75" hidden="1" outlineLevel="1" x14ac:dyDescent="0.2">
      <c r="A68" s="19" t="s">
        <v>36</v>
      </c>
      <c r="B68" s="14"/>
      <c r="C68" s="74"/>
      <c r="D68" s="74"/>
      <c r="E68" s="74"/>
      <c r="F68" s="74"/>
      <c r="G68" s="74"/>
      <c r="H68" s="74"/>
      <c r="I68" s="74"/>
      <c r="J68" s="14"/>
      <c r="K68" s="15">
        <f>SUM(Table1918[[#This Row],[1]:[9]])</f>
        <v>0</v>
      </c>
      <c r="L68" s="15">
        <f>Table1918[[#This Row],[Out]]</f>
        <v>0</v>
      </c>
      <c r="M68" s="75">
        <f>IF(Table1918[[#This Row],[Gross]]&gt;0,Table1918[[#This Row],[Gross]]-Table1918[[#This Row],[HCP]],0)</f>
        <v>0</v>
      </c>
      <c r="N68" s="75">
        <f>VLOOKUP(Table1918[[#This Row],[Hole]],'Player Info'!A:C,3,0)/2</f>
        <v>3</v>
      </c>
      <c r="O68" s="14" t="s">
        <v>79</v>
      </c>
      <c r="P68" s="14">
        <v>0</v>
      </c>
      <c r="Q68" s="21"/>
      <c r="R68" s="21"/>
      <c r="S68" s="15" t="str">
        <f>VLOOKUP(Table1918[[#This Row],[Hole]],'Player Info'!A:B,2,0)</f>
        <v>Danny</v>
      </c>
      <c r="T68" s="4"/>
      <c r="U68" s="4"/>
      <c r="V68" s="4"/>
      <c r="W68" s="4"/>
      <c r="X68" s="4"/>
      <c r="Y68" s="4"/>
      <c r="Z68" s="4"/>
      <c r="AB68" s="4"/>
      <c r="AC68" s="4"/>
      <c r="AF68" s="4"/>
      <c r="AG68" s="4"/>
    </row>
    <row r="69" spans="1:33" ht="12.75" hidden="1" outlineLevel="1" x14ac:dyDescent="0.2">
      <c r="A69" s="19" t="s">
        <v>54</v>
      </c>
      <c r="B69" s="14"/>
      <c r="C69" s="71"/>
      <c r="D69" s="14"/>
      <c r="E69" s="71"/>
      <c r="F69" s="14"/>
      <c r="G69" s="14"/>
      <c r="H69" s="71"/>
      <c r="I69" s="71"/>
      <c r="J69" s="71"/>
      <c r="K69" s="15">
        <f>SUM(Table1918[[#This Row],[1]:[9]])</f>
        <v>0</v>
      </c>
      <c r="L69" s="15">
        <f>Table1918[[#This Row],[Out]]</f>
        <v>0</v>
      </c>
      <c r="M69" s="75">
        <f>IF(Table1918[[#This Row],[Gross]]&gt;0,Table1918[[#This Row],[Gross]]-Table1918[[#This Row],[HCP]],0)</f>
        <v>0</v>
      </c>
      <c r="N69" s="75">
        <f>VLOOKUP(Table1918[[#This Row],[Hole]],'Player Info'!A:C,3,0)/2</f>
        <v>7.5</v>
      </c>
      <c r="O69" s="14" t="s">
        <v>79</v>
      </c>
      <c r="P69" s="14">
        <v>5</v>
      </c>
      <c r="Q69" s="21"/>
      <c r="R69" s="21"/>
      <c r="S69" s="15" t="str">
        <f>VLOOKUP(Table1918[[#This Row],[Hole]],'Player Info'!A:B,2,0)</f>
        <v>Danny</v>
      </c>
      <c r="T69" s="4"/>
      <c r="U69" s="4"/>
      <c r="V69" s="4"/>
      <c r="W69" s="4"/>
      <c r="X69" s="4"/>
      <c r="Y69" s="4"/>
      <c r="Z69" s="4"/>
      <c r="AB69" s="4"/>
      <c r="AC69" s="4"/>
      <c r="AF69" s="4"/>
      <c r="AG69" s="4"/>
    </row>
    <row r="70" spans="1:33" ht="12.75" hidden="1" outlineLevel="1" x14ac:dyDescent="0.2">
      <c r="A70" s="19" t="s">
        <v>45</v>
      </c>
      <c r="B70" s="14"/>
      <c r="C70" s="74"/>
      <c r="D70" s="74"/>
      <c r="E70" s="74"/>
      <c r="F70" s="74"/>
      <c r="G70" s="74"/>
      <c r="H70" s="74"/>
      <c r="I70" s="74"/>
      <c r="J70" s="74"/>
      <c r="K70" s="15">
        <f>SUM(Table1918[[#This Row],[1]:[9]])</f>
        <v>0</v>
      </c>
      <c r="L70" s="15">
        <f>Table1918[[#This Row],[Out]]</f>
        <v>0</v>
      </c>
      <c r="M70" s="75">
        <f>IF(Table1918[[#This Row],[Gross]]&gt;0,Table1918[[#This Row],[Gross]]-Table1918[[#This Row],[HCP]],0)</f>
        <v>0</v>
      </c>
      <c r="N70" s="75">
        <f>VLOOKUP(Table1918[[#This Row],[Hole]],'Player Info'!A:C,3,0)/2</f>
        <v>3</v>
      </c>
      <c r="O70" s="14" t="s">
        <v>79</v>
      </c>
      <c r="P70" s="14">
        <v>0</v>
      </c>
      <c r="Q70" s="21"/>
      <c r="R70" s="21">
        <v>2</v>
      </c>
      <c r="S70" s="15" t="str">
        <f>VLOOKUP(Table1918[[#This Row],[Hole]],'Player Info'!A:B,2,0)</f>
        <v>Matt</v>
      </c>
      <c r="T70" s="4"/>
      <c r="U70" s="4"/>
      <c r="V70" s="4"/>
      <c r="W70" s="4"/>
      <c r="X70" s="4"/>
      <c r="Y70" s="4"/>
      <c r="Z70" s="4"/>
      <c r="AB70" s="4"/>
      <c r="AC70" s="4"/>
      <c r="AF70" s="4"/>
      <c r="AG70" s="4"/>
    </row>
    <row r="71" spans="1:33" ht="12.75" hidden="1" outlineLevel="1" x14ac:dyDescent="0.2">
      <c r="A71" s="19" t="s">
        <v>48</v>
      </c>
      <c r="B71" s="16"/>
      <c r="C71" s="76"/>
      <c r="D71" s="16"/>
      <c r="E71" s="76"/>
      <c r="F71" s="16"/>
      <c r="G71" s="16"/>
      <c r="H71" s="76"/>
      <c r="I71" s="76"/>
      <c r="J71" s="76"/>
      <c r="K71" s="17">
        <f>SUM(Table1918[[#This Row],[1]:[9]])</f>
        <v>0</v>
      </c>
      <c r="L71" s="15">
        <f>Table1918[[#This Row],[Out]]</f>
        <v>0</v>
      </c>
      <c r="M71" s="75">
        <f>IF(Table1918[[#This Row],[Gross]]&gt;0,Table1918[[#This Row],[Gross]]-Table1918[[#This Row],[HCP]],0)</f>
        <v>0</v>
      </c>
      <c r="N71" s="75">
        <f>VLOOKUP(Table1918[[#This Row],[Hole]],'Player Info'!A:C,3,0)/2</f>
        <v>8</v>
      </c>
      <c r="O71" s="14" t="s">
        <v>79</v>
      </c>
      <c r="P71" s="16">
        <v>5</v>
      </c>
      <c r="Q71" s="21"/>
      <c r="R71" s="21">
        <v>2</v>
      </c>
      <c r="S71" s="15" t="str">
        <f>VLOOKUP(Table1918[[#This Row],[Hole]],'Player Info'!A:B,2,0)</f>
        <v>Matt</v>
      </c>
      <c r="T71" s="4"/>
      <c r="U71" s="4"/>
      <c r="V71" s="4"/>
      <c r="W71" s="4"/>
      <c r="X71" s="4"/>
      <c r="Y71" s="4"/>
      <c r="Z71" s="4"/>
      <c r="AB71" s="4"/>
      <c r="AC71" s="4"/>
      <c r="AF71" s="4"/>
      <c r="AG71" s="4"/>
    </row>
    <row r="72" spans="1:33" ht="12.75" hidden="1" outlineLevel="1" x14ac:dyDescent="0.2">
      <c r="A72" s="19" t="s">
        <v>50</v>
      </c>
      <c r="B72" s="14"/>
      <c r="C72" s="71"/>
      <c r="D72" s="14"/>
      <c r="E72" s="71"/>
      <c r="F72" s="14"/>
      <c r="G72" s="14"/>
      <c r="H72" s="14"/>
      <c r="I72" s="71"/>
      <c r="J72" s="14"/>
      <c r="K72" s="15">
        <f>SUM(Table1918[[#This Row],[1]:[9]])</f>
        <v>0</v>
      </c>
      <c r="L72" s="15">
        <f>Table1918[[#This Row],[Out]]</f>
        <v>0</v>
      </c>
      <c r="M72" s="75">
        <f>IF(Table1918[[#This Row],[Gross]]&gt;0,Table1918[[#This Row],[Gross]]-Table1918[[#This Row],[HCP]],0)</f>
        <v>0</v>
      </c>
      <c r="N72" s="75">
        <f>VLOOKUP(Table1918[[#This Row],[Hole]],'Player Info'!A:C,3,0)/2</f>
        <v>5</v>
      </c>
      <c r="O72" s="14" t="s">
        <v>80</v>
      </c>
      <c r="P72" s="14">
        <v>3</v>
      </c>
      <c r="Q72" s="21"/>
      <c r="R72" s="21">
        <v>1.5</v>
      </c>
      <c r="S72" s="15" t="str">
        <f>VLOOKUP(Table1918[[#This Row],[Hole]],'Player Info'!A:B,2,0)</f>
        <v>Eric</v>
      </c>
      <c r="T72" s="4"/>
      <c r="U72" s="4"/>
      <c r="V72" s="4"/>
      <c r="W72" s="4"/>
      <c r="X72" s="4"/>
      <c r="Y72" s="4"/>
      <c r="Z72" s="4"/>
      <c r="AB72" s="4"/>
      <c r="AC72" s="4"/>
      <c r="AF72" s="4"/>
      <c r="AG72" s="4"/>
    </row>
    <row r="73" spans="1:33" ht="12.75" hidden="1" outlineLevel="1" x14ac:dyDescent="0.2">
      <c r="A73" s="19" t="s">
        <v>51</v>
      </c>
      <c r="B73" s="14"/>
      <c r="C73" s="71"/>
      <c r="D73" s="14"/>
      <c r="E73" s="71"/>
      <c r="F73" s="14"/>
      <c r="G73" s="14"/>
      <c r="H73" s="71"/>
      <c r="I73" s="71"/>
      <c r="J73" s="71"/>
      <c r="K73" s="15">
        <f>SUM(Table1918[[#This Row],[1]:[9]])</f>
        <v>0</v>
      </c>
      <c r="L73" s="15">
        <f>Table1918[[#This Row],[Out]]</f>
        <v>0</v>
      </c>
      <c r="M73" s="75">
        <f>IF(Table1918[[#This Row],[Gross]]&gt;0,Table1918[[#This Row],[Gross]]-Table1918[[#This Row],[HCP]],0)</f>
        <v>0</v>
      </c>
      <c r="N73" s="75">
        <f>VLOOKUP(Table1918[[#This Row],[Hole]],'Player Info'!A:C,3,0)/2</f>
        <v>7</v>
      </c>
      <c r="O73" s="14" t="s">
        <v>80</v>
      </c>
      <c r="P73" s="14">
        <v>5</v>
      </c>
      <c r="Q73" s="21"/>
      <c r="R73" s="21">
        <v>1.5</v>
      </c>
      <c r="S73" s="15" t="str">
        <f>VLOOKUP(Table1918[[#This Row],[Hole]],'Player Info'!A:B,2,0)</f>
        <v>Eric</v>
      </c>
      <c r="T73" s="4"/>
      <c r="U73" s="4"/>
      <c r="V73" s="4"/>
      <c r="W73" s="4"/>
      <c r="X73" s="4"/>
      <c r="Y73" s="4"/>
      <c r="Z73" s="4"/>
      <c r="AB73" s="4"/>
      <c r="AC73" s="4"/>
      <c r="AF73" s="4"/>
      <c r="AG73" s="4"/>
    </row>
    <row r="74" spans="1:33" ht="12.75" hidden="1" outlineLevel="1" x14ac:dyDescent="0.2">
      <c r="A74" s="19" t="s">
        <v>49</v>
      </c>
      <c r="B74" s="14"/>
      <c r="C74" s="14"/>
      <c r="D74" s="14"/>
      <c r="E74" s="14"/>
      <c r="F74" s="14"/>
      <c r="G74" s="14"/>
      <c r="H74" s="14"/>
      <c r="I74" s="14"/>
      <c r="J74" s="14"/>
      <c r="K74" s="15">
        <f>SUM(Table1918[[#This Row],[1]:[9]])</f>
        <v>0</v>
      </c>
      <c r="L74" s="15">
        <f>Table1918[[#This Row],[Out]]</f>
        <v>0</v>
      </c>
      <c r="M74" s="75">
        <f>IF(Table1918[[#This Row],[Gross]]&gt;0,Table1918[[#This Row],[Gross]]-Table1918[[#This Row],[HCP]],0)</f>
        <v>0</v>
      </c>
      <c r="N74" s="75">
        <f>VLOOKUP(Table1918[[#This Row],[Hole]],'Player Info'!A:C,3,0)/2</f>
        <v>1.5</v>
      </c>
      <c r="O74" s="14" t="s">
        <v>80</v>
      </c>
      <c r="P74" s="14">
        <v>0</v>
      </c>
      <c r="Q74" s="21"/>
      <c r="R74" s="21">
        <v>0.5</v>
      </c>
      <c r="S74" s="15" t="str">
        <f>VLOOKUP(Table1918[[#This Row],[Hole]],'Player Info'!A:B,2,0)</f>
        <v>Matt</v>
      </c>
      <c r="T74" s="4"/>
      <c r="U74" s="4"/>
      <c r="V74" s="4"/>
      <c r="W74" s="4"/>
      <c r="X74" s="4"/>
      <c r="Y74" s="4"/>
      <c r="Z74" s="4"/>
      <c r="AB74" s="4"/>
      <c r="AC74" s="4"/>
      <c r="AF74" s="4"/>
      <c r="AG74" s="4"/>
    </row>
    <row r="75" spans="1:33" ht="12.75" hidden="1" outlineLevel="1" x14ac:dyDescent="0.2">
      <c r="A75" s="19" t="s">
        <v>52</v>
      </c>
      <c r="B75" s="14"/>
      <c r="C75" s="71"/>
      <c r="D75" s="14"/>
      <c r="E75" s="71"/>
      <c r="F75" s="71"/>
      <c r="G75" s="14"/>
      <c r="H75" s="71"/>
      <c r="I75" s="71"/>
      <c r="J75" s="71"/>
      <c r="K75" s="15">
        <f>SUM(Table1918[[#This Row],[1]:[9]])</f>
        <v>0</v>
      </c>
      <c r="L75" s="15">
        <f>Table1918[[#This Row],[Out]]</f>
        <v>0</v>
      </c>
      <c r="M75" s="75">
        <f>IF(Table1918[[#This Row],[Gross]]&gt;0,Table1918[[#This Row],[Gross]]-Table1918[[#This Row],[HCP]],0)</f>
        <v>0</v>
      </c>
      <c r="N75" s="75">
        <f>VLOOKUP(Table1918[[#This Row],[Hole]],'Player Info'!A:C,3,0)/2</f>
        <v>8</v>
      </c>
      <c r="O75" s="14" t="s">
        <v>80</v>
      </c>
      <c r="P75" s="14">
        <v>6</v>
      </c>
      <c r="Q75" s="21"/>
      <c r="R75" s="21">
        <v>0.5</v>
      </c>
      <c r="S75" s="15" t="str">
        <f>VLOOKUP(Table1918[[#This Row],[Hole]],'Player Info'!A:B,2,0)</f>
        <v>Matt</v>
      </c>
      <c r="T75" s="4"/>
      <c r="U75" s="4"/>
      <c r="V75" s="4"/>
      <c r="W75" s="4"/>
      <c r="X75" s="4"/>
      <c r="Y75" s="4"/>
      <c r="Z75" s="4"/>
      <c r="AB75" s="4"/>
      <c r="AC75" s="4"/>
      <c r="AF75" s="4"/>
      <c r="AG75" s="4"/>
    </row>
    <row r="76" spans="1:33" ht="12.75" hidden="1" outlineLevel="1" x14ac:dyDescent="0.2">
      <c r="A76" s="82"/>
      <c r="B76" s="84"/>
      <c r="C76" s="84"/>
      <c r="D76" s="84"/>
      <c r="E76" s="84"/>
      <c r="F76" s="84"/>
      <c r="G76" s="84"/>
      <c r="H76" s="84"/>
      <c r="I76" s="84"/>
      <c r="J76" s="84"/>
      <c r="K76" s="84"/>
      <c r="L76" s="84"/>
      <c r="M76" s="86"/>
      <c r="N76" s="86"/>
      <c r="O76" s="84"/>
      <c r="P76" s="84"/>
      <c r="Q76" s="84"/>
      <c r="R76" s="84"/>
      <c r="S76" s="84"/>
      <c r="T76" s="4"/>
      <c r="U76" s="4"/>
      <c r="V76" s="4"/>
      <c r="W76" s="4"/>
      <c r="X76" s="4"/>
      <c r="Y76" s="4"/>
      <c r="Z76" s="4"/>
      <c r="AB76" s="4"/>
      <c r="AC76" s="4"/>
      <c r="AF76" s="4"/>
      <c r="AG76" s="4"/>
    </row>
    <row r="77" spans="1:33" hidden="1" outlineLevel="1" x14ac:dyDescent="0.25">
      <c r="P77" s="4"/>
      <c r="Q77" s="4"/>
      <c r="R77"/>
      <c r="T77" s="4"/>
      <c r="U77" s="4"/>
      <c r="X77" s="4"/>
      <c r="Y77" s="4"/>
      <c r="Z77" s="4"/>
      <c r="AB77" s="4"/>
      <c r="AC77" s="4"/>
      <c r="AF77" s="4"/>
      <c r="AG77" s="4"/>
    </row>
    <row r="78" spans="1:33" ht="12.75" hidden="1" outlineLevel="1" x14ac:dyDescent="0.2">
      <c r="A78" s="1" t="s">
        <v>0</v>
      </c>
      <c r="B78" s="2" t="s">
        <v>94</v>
      </c>
      <c r="T78" s="4"/>
      <c r="U78" s="4"/>
      <c r="V78" s="4"/>
      <c r="W78" s="4"/>
      <c r="X78" s="4"/>
      <c r="Y78" s="4"/>
      <c r="Z78" s="4"/>
      <c r="AB78" s="4"/>
      <c r="AC78" s="4"/>
      <c r="AF78" s="4"/>
      <c r="AG78" s="4"/>
    </row>
    <row r="79" spans="1:33" ht="12.75" hidden="1" outlineLevel="1" x14ac:dyDescent="0.2">
      <c r="A79" s="8" t="s">
        <v>96</v>
      </c>
      <c r="B79" s="9">
        <v>426</v>
      </c>
      <c r="C79" s="9">
        <v>415</v>
      </c>
      <c r="D79" s="9">
        <v>417</v>
      </c>
      <c r="E79" s="9">
        <v>185</v>
      </c>
      <c r="F79" s="9">
        <v>500</v>
      </c>
      <c r="G79" s="9">
        <v>210</v>
      </c>
      <c r="H79" s="9">
        <v>432</v>
      </c>
      <c r="I79" s="9">
        <v>506</v>
      </c>
      <c r="J79" s="9">
        <v>430</v>
      </c>
      <c r="K79" s="9">
        <f>SUM(B79:J79)</f>
        <v>3521</v>
      </c>
      <c r="L79" s="7"/>
      <c r="M79" s="7"/>
      <c r="N79" s="7"/>
      <c r="O79" s="7"/>
      <c r="P79" s="7"/>
      <c r="Q79" s="7"/>
      <c r="R79" s="7"/>
      <c r="S79" s="7"/>
      <c r="T79" s="4"/>
      <c r="U79" s="4"/>
      <c r="V79" s="4"/>
      <c r="W79" s="4"/>
      <c r="X79" s="4"/>
      <c r="Y79" s="4"/>
      <c r="Z79" s="4"/>
      <c r="AB79" s="4"/>
      <c r="AC79" s="4"/>
      <c r="AF79" s="4"/>
      <c r="AG79" s="4"/>
    </row>
    <row r="80" spans="1:33" ht="12.75" hidden="1" outlineLevel="1" x14ac:dyDescent="0.2">
      <c r="A80" s="5" t="s">
        <v>3</v>
      </c>
      <c r="B80" s="6">
        <v>10</v>
      </c>
      <c r="C80" s="6">
        <v>12</v>
      </c>
      <c r="D80" s="6">
        <v>2</v>
      </c>
      <c r="E80" s="6">
        <v>4</v>
      </c>
      <c r="F80" s="6">
        <v>18</v>
      </c>
      <c r="G80" s="6">
        <v>14</v>
      </c>
      <c r="H80" s="6">
        <v>6</v>
      </c>
      <c r="I80" s="6">
        <v>16</v>
      </c>
      <c r="J80" s="6">
        <v>8</v>
      </c>
      <c r="K80" s="7"/>
      <c r="L80" s="7"/>
      <c r="M80" s="7"/>
      <c r="N80" s="7"/>
      <c r="O80" s="7"/>
      <c r="P80" s="7"/>
      <c r="Q80" s="7"/>
      <c r="R80" s="7"/>
      <c r="S80" s="7"/>
      <c r="T80" s="4"/>
      <c r="U80" s="4"/>
      <c r="V80" s="4"/>
      <c r="W80" s="4"/>
      <c r="X80" s="4"/>
      <c r="Y80" s="4"/>
      <c r="Z80" s="4"/>
      <c r="AB80" s="4"/>
      <c r="AC80" s="4"/>
      <c r="AF80" s="4"/>
      <c r="AG80" s="4"/>
    </row>
    <row r="81" spans="1:33" ht="12.75" hidden="1" outlineLevel="1" x14ac:dyDescent="0.2">
      <c r="A81" s="10" t="s">
        <v>8</v>
      </c>
      <c r="B81" s="11">
        <v>4</v>
      </c>
      <c r="C81" s="11">
        <v>4</v>
      </c>
      <c r="D81" s="11">
        <v>4</v>
      </c>
      <c r="E81" s="11">
        <v>3</v>
      </c>
      <c r="F81" s="11">
        <v>5</v>
      </c>
      <c r="G81" s="11">
        <v>3</v>
      </c>
      <c r="H81" s="11">
        <v>4</v>
      </c>
      <c r="I81" s="11">
        <v>5</v>
      </c>
      <c r="J81" s="11">
        <v>4</v>
      </c>
      <c r="K81" s="11"/>
      <c r="L81" s="11"/>
      <c r="M81" s="7"/>
      <c r="N81" s="7"/>
      <c r="O81" s="7"/>
      <c r="P81" s="7"/>
      <c r="Q81" s="7"/>
      <c r="R81" s="7"/>
      <c r="S81" s="7"/>
      <c r="T81" s="4"/>
      <c r="U81" s="4"/>
      <c r="V81" s="4"/>
      <c r="W81" s="4"/>
      <c r="X81" s="4"/>
      <c r="Y81" s="4"/>
      <c r="Z81" s="4"/>
      <c r="AB81" s="4"/>
      <c r="AC81" s="4"/>
      <c r="AF81" s="4"/>
      <c r="AG81" s="4"/>
    </row>
    <row r="82" spans="1:33" ht="12.75" hidden="1" outlineLevel="1" x14ac:dyDescent="0.2">
      <c r="A82" s="12" t="s">
        <v>9</v>
      </c>
      <c r="B82" s="13" t="s">
        <v>25</v>
      </c>
      <c r="C82" s="13" t="s">
        <v>26</v>
      </c>
      <c r="D82" s="13" t="s">
        <v>27</v>
      </c>
      <c r="E82" s="13" t="s">
        <v>28</v>
      </c>
      <c r="F82" s="13" t="s">
        <v>29</v>
      </c>
      <c r="G82" s="13" t="s">
        <v>30</v>
      </c>
      <c r="H82" s="13" t="s">
        <v>31</v>
      </c>
      <c r="I82" s="13" t="s">
        <v>32</v>
      </c>
      <c r="J82" s="13" t="s">
        <v>33</v>
      </c>
      <c r="K82" s="13" t="s">
        <v>4</v>
      </c>
      <c r="L82" s="13" t="s">
        <v>34</v>
      </c>
      <c r="M82" s="13" t="s">
        <v>7</v>
      </c>
      <c r="N82" s="13" t="s">
        <v>6</v>
      </c>
      <c r="O82" s="13" t="s">
        <v>35</v>
      </c>
      <c r="P82" s="13" t="s">
        <v>81</v>
      </c>
      <c r="Q82" s="13" t="s">
        <v>85</v>
      </c>
      <c r="R82" s="13" t="s">
        <v>38</v>
      </c>
      <c r="S82" s="13" t="s">
        <v>11</v>
      </c>
      <c r="T82" s="4"/>
      <c r="U82" s="4"/>
      <c r="V82" s="4"/>
      <c r="W82" s="4"/>
      <c r="X82" s="4"/>
      <c r="Y82" s="4"/>
      <c r="Z82" s="4"/>
      <c r="AB82" s="4"/>
      <c r="AC82" s="4"/>
      <c r="AF82" s="4"/>
      <c r="AG82" s="4"/>
    </row>
    <row r="83" spans="1:33" ht="12.75" hidden="1" outlineLevel="1" x14ac:dyDescent="0.2">
      <c r="A83" s="19" t="s">
        <v>37</v>
      </c>
      <c r="B83" s="14"/>
      <c r="C83" s="74"/>
      <c r="D83" s="77"/>
      <c r="E83" s="77"/>
      <c r="F83" s="74"/>
      <c r="G83" s="74"/>
      <c r="H83" s="74"/>
      <c r="I83" s="74"/>
      <c r="J83" s="74"/>
      <c r="K83" s="15">
        <f>SUM(Table191519[[#This Row],[10]:[18]])</f>
        <v>0</v>
      </c>
      <c r="L83" s="15">
        <f>Table191519[[#This Row],[In]]</f>
        <v>0</v>
      </c>
      <c r="M83" s="75">
        <f>IF(Table191519[[#This Row],[Gross]]&gt;0,Table191519[[#This Row],[Gross]]-Table191519[[#This Row],[HCP]],0)</f>
        <v>0</v>
      </c>
      <c r="N83" s="75">
        <f>VLOOKUP(Table191519[[#This Row],[Hole]],'Player Info'!A:C,3,0)/2</f>
        <v>4.5</v>
      </c>
      <c r="O83" s="14" t="s">
        <v>78</v>
      </c>
      <c r="P83" s="14">
        <v>2</v>
      </c>
      <c r="Q83" s="21"/>
      <c r="R83" s="21"/>
      <c r="S83" s="15" t="str">
        <f>VLOOKUP(Table191519[[#This Row],[Hole]],'Player Info'!A:B,2,0)</f>
        <v>Danny</v>
      </c>
      <c r="T83" s="4"/>
      <c r="U83" s="4"/>
      <c r="V83" s="4"/>
      <c r="W83" s="4"/>
      <c r="X83" s="4"/>
      <c r="Y83" s="4"/>
      <c r="Z83" s="4"/>
      <c r="AB83" s="4"/>
      <c r="AC83" s="4"/>
      <c r="AF83" s="4"/>
      <c r="AG83" s="4"/>
    </row>
    <row r="84" spans="1:33" ht="12.75" hidden="1" outlineLevel="1" x14ac:dyDescent="0.2">
      <c r="A84" s="19" t="s">
        <v>47</v>
      </c>
      <c r="B84" s="14"/>
      <c r="C84" s="74"/>
      <c r="D84" s="77"/>
      <c r="E84" s="77"/>
      <c r="F84" s="74"/>
      <c r="G84" s="74"/>
      <c r="H84" s="74"/>
      <c r="I84" s="74"/>
      <c r="J84" s="14"/>
      <c r="K84" s="15">
        <f>SUM(Table191519[[#This Row],[10]:[18]])</f>
        <v>0</v>
      </c>
      <c r="L84" s="15">
        <f>Table191519[[#This Row],[In]]</f>
        <v>0</v>
      </c>
      <c r="M84" s="75">
        <f>IF(Table191519[[#This Row],[Gross]]&gt;0,Table191519[[#This Row],[Gross]]-Table191519[[#This Row],[HCP]],0)</f>
        <v>0</v>
      </c>
      <c r="N84" s="75">
        <f>VLOOKUP(Table191519[[#This Row],[Hole]],'Player Info'!A:C,3,0)/2</f>
        <v>5</v>
      </c>
      <c r="O84" s="14" t="s">
        <v>78</v>
      </c>
      <c r="P84" s="14">
        <v>2</v>
      </c>
      <c r="Q84" s="21"/>
      <c r="R84" s="21"/>
      <c r="S84" s="15" t="str">
        <f>VLOOKUP(Table191519[[#This Row],[Hole]],'Player Info'!A:B,2,0)</f>
        <v>Danny</v>
      </c>
      <c r="T84" s="4"/>
      <c r="U84" s="4"/>
      <c r="V84" s="4"/>
      <c r="W84" s="4"/>
      <c r="X84" s="4"/>
      <c r="Y84" s="4"/>
      <c r="Z84" s="4"/>
      <c r="AB84" s="4"/>
      <c r="AC84" s="4"/>
      <c r="AF84" s="4"/>
      <c r="AG84" s="4"/>
    </row>
    <row r="85" spans="1:33" ht="12.75" hidden="1" outlineLevel="1" x14ac:dyDescent="0.2">
      <c r="A85" s="19" t="s">
        <v>45</v>
      </c>
      <c r="B85" s="14"/>
      <c r="C85" s="74"/>
      <c r="D85" s="74"/>
      <c r="E85" s="74"/>
      <c r="F85" s="74"/>
      <c r="G85" s="74"/>
      <c r="H85" s="74"/>
      <c r="I85" s="74"/>
      <c r="J85" s="74"/>
      <c r="K85" s="15">
        <f>SUM(Table191519[[#This Row],[10]:[18]])</f>
        <v>0</v>
      </c>
      <c r="L85" s="15">
        <f>Table191519[[#This Row],[In]]</f>
        <v>0</v>
      </c>
      <c r="M85" s="75">
        <f>IF(Table191519[[#This Row],[Gross]]&gt;0,Table191519[[#This Row],[Gross]]-Table191519[[#This Row],[HCP]],0)</f>
        <v>0</v>
      </c>
      <c r="N85" s="75">
        <f>VLOOKUP(Table191519[[#This Row],[Hole]],'Player Info'!A:C,3,0)/2</f>
        <v>3</v>
      </c>
      <c r="O85" s="14" t="s">
        <v>78</v>
      </c>
      <c r="P85" s="14">
        <v>0</v>
      </c>
      <c r="Q85" s="21"/>
      <c r="R85" s="21"/>
      <c r="S85" s="15" t="str">
        <f>VLOOKUP(Table191519[[#This Row],[Hole]],'Player Info'!A:B,2,0)</f>
        <v>Matt</v>
      </c>
      <c r="T85" s="4"/>
      <c r="U85" s="4"/>
      <c r="V85" s="4"/>
      <c r="W85" s="4"/>
      <c r="X85" s="4"/>
      <c r="Y85" s="4"/>
      <c r="Z85" s="4"/>
      <c r="AB85" s="4"/>
      <c r="AC85" s="4"/>
      <c r="AF85" s="4"/>
      <c r="AG85" s="4"/>
    </row>
    <row r="86" spans="1:33" ht="12.75" hidden="1" outlineLevel="1" x14ac:dyDescent="0.2">
      <c r="A86" s="19" t="s">
        <v>48</v>
      </c>
      <c r="B86" s="71"/>
      <c r="C86" s="14"/>
      <c r="D86" s="71"/>
      <c r="E86" s="71"/>
      <c r="F86" s="14"/>
      <c r="G86" s="14"/>
      <c r="H86" s="71"/>
      <c r="I86" s="14"/>
      <c r="J86" s="71"/>
      <c r="K86" s="15">
        <f>SUM(Table191519[[#This Row],[10]:[18]])</f>
        <v>0</v>
      </c>
      <c r="L86" s="15">
        <f>Table191519[[#This Row],[In]]</f>
        <v>0</v>
      </c>
      <c r="M86" s="75">
        <f>IF(Table191519[[#This Row],[Gross]]&gt;0,Table191519[[#This Row],[Gross]]-Table191519[[#This Row],[HCP]],0)</f>
        <v>0</v>
      </c>
      <c r="N86" s="75">
        <f>VLOOKUP(Table191519[[#This Row],[Hole]],'Player Info'!A:C,3,0)/2</f>
        <v>8</v>
      </c>
      <c r="O86" s="14" t="s">
        <v>78</v>
      </c>
      <c r="P86" s="14">
        <v>5</v>
      </c>
      <c r="Q86" s="21"/>
      <c r="R86" s="21"/>
      <c r="S86" s="15" t="str">
        <f>VLOOKUP(Table191519[[#This Row],[Hole]],'Player Info'!A:B,2,0)</f>
        <v>Matt</v>
      </c>
      <c r="T86" s="4"/>
      <c r="U86" s="4"/>
      <c r="V86" s="4"/>
      <c r="W86" s="4"/>
      <c r="X86" s="4"/>
      <c r="Y86" s="4"/>
      <c r="Z86" s="4"/>
      <c r="AB86" s="4"/>
      <c r="AC86" s="4"/>
      <c r="AF86" s="4"/>
      <c r="AG86" s="4"/>
    </row>
    <row r="87" spans="1:33" ht="12.75" hidden="1" outlineLevel="1" x14ac:dyDescent="0.2">
      <c r="A87" s="19" t="s">
        <v>14</v>
      </c>
      <c r="B87" s="14"/>
      <c r="C87" s="74"/>
      <c r="D87" s="77"/>
      <c r="E87" s="74"/>
      <c r="F87" s="74"/>
      <c r="G87" s="74"/>
      <c r="H87" s="74"/>
      <c r="I87" s="74"/>
      <c r="J87" s="14"/>
      <c r="K87" s="15">
        <f>SUM(Table191519[[#This Row],[10]:[18]])</f>
        <v>0</v>
      </c>
      <c r="L87" s="15">
        <f>Table191519[[#This Row],[In]]</f>
        <v>0</v>
      </c>
      <c r="M87" s="75">
        <f>IF(Table191519[[#This Row],[Gross]]&gt;0,Table191519[[#This Row],[Gross]]-Table191519[[#This Row],[HCP]],0)</f>
        <v>0</v>
      </c>
      <c r="N87" s="75">
        <f>VLOOKUP(Table191519[[#This Row],[Hole]],'Player Info'!A:C,3,0)/2</f>
        <v>3</v>
      </c>
      <c r="O87" s="14" t="s">
        <v>79</v>
      </c>
      <c r="P87" s="14">
        <v>1</v>
      </c>
      <c r="Q87" s="21"/>
      <c r="R87" s="21"/>
      <c r="S87" s="15" t="str">
        <f>VLOOKUP(Table191519[[#This Row],[Hole]],'Player Info'!A:B,2,0)</f>
        <v>Eric</v>
      </c>
      <c r="T87" s="4"/>
      <c r="U87" s="4"/>
      <c r="V87" s="4"/>
      <c r="W87" s="4"/>
      <c r="X87" s="4"/>
      <c r="Y87" s="4"/>
      <c r="Z87" s="4"/>
      <c r="AB87" s="4"/>
      <c r="AC87" s="4"/>
      <c r="AF87" s="4"/>
      <c r="AG87" s="4"/>
    </row>
    <row r="88" spans="1:33" ht="12.75" hidden="1" outlineLevel="1" x14ac:dyDescent="0.2">
      <c r="A88" s="19" t="s">
        <v>15</v>
      </c>
      <c r="B88" s="71"/>
      <c r="C88" s="71"/>
      <c r="D88" s="71"/>
      <c r="E88" s="71"/>
      <c r="F88" s="14"/>
      <c r="G88" s="14"/>
      <c r="H88" s="71"/>
      <c r="I88" s="14"/>
      <c r="J88" s="71"/>
      <c r="K88" s="15">
        <f>SUM(Table191519[[#This Row],[10]:[18]])</f>
        <v>0</v>
      </c>
      <c r="L88" s="15">
        <f>Table191519[[#This Row],[In]]</f>
        <v>0</v>
      </c>
      <c r="M88" s="75">
        <f>IF(Table191519[[#This Row],[Gross]]&gt;0,Table191519[[#This Row],[Gross]]-Table191519[[#This Row],[HCP]],0)</f>
        <v>0</v>
      </c>
      <c r="N88" s="75">
        <f>VLOOKUP(Table191519[[#This Row],[Hole]],'Player Info'!A:C,3,0)/2</f>
        <v>7.5</v>
      </c>
      <c r="O88" s="14" t="s">
        <v>79</v>
      </c>
      <c r="P88" s="14">
        <v>6</v>
      </c>
      <c r="Q88" s="21"/>
      <c r="R88" s="21"/>
      <c r="S88" s="15" t="str">
        <f>VLOOKUP(Table191519[[#This Row],[Hole]],'Player Info'!A:B,2,0)</f>
        <v>Eric</v>
      </c>
      <c r="T88" s="4"/>
      <c r="U88" s="4"/>
      <c r="V88" s="4"/>
      <c r="W88" s="4"/>
      <c r="X88" s="4"/>
      <c r="Y88" s="4"/>
      <c r="Z88" s="4"/>
      <c r="AB88" s="4"/>
      <c r="AC88" s="4"/>
      <c r="AF88" s="4"/>
      <c r="AG88" s="4"/>
    </row>
    <row r="89" spans="1:33" ht="12.75" hidden="1" outlineLevel="1" x14ac:dyDescent="0.2">
      <c r="A89" s="19" t="s">
        <v>49</v>
      </c>
      <c r="B89" s="14"/>
      <c r="C89" s="14"/>
      <c r="D89" s="14"/>
      <c r="E89" s="14"/>
      <c r="F89" s="14"/>
      <c r="G89" s="14"/>
      <c r="H89" s="14"/>
      <c r="I89" s="14"/>
      <c r="J89" s="14"/>
      <c r="K89" s="15">
        <f>SUM(Table191519[[#This Row],[10]:[18]])</f>
        <v>0</v>
      </c>
      <c r="L89" s="15">
        <f>Table191519[[#This Row],[In]]</f>
        <v>0</v>
      </c>
      <c r="M89" s="75">
        <f>IF(Table191519[[#This Row],[Gross]]&gt;0,Table191519[[#This Row],[Gross]]-Table191519[[#This Row],[HCP]],0)</f>
        <v>0</v>
      </c>
      <c r="N89" s="75">
        <f>VLOOKUP(Table191519[[#This Row],[Hole]],'Player Info'!A:C,3,0)/2</f>
        <v>1.5</v>
      </c>
      <c r="O89" s="14" t="s">
        <v>79</v>
      </c>
      <c r="P89" s="14">
        <v>0</v>
      </c>
      <c r="Q89" s="21"/>
      <c r="R89" s="21"/>
      <c r="S89" s="15" t="str">
        <f>VLOOKUP(Table191519[[#This Row],[Hole]],'Player Info'!A:B,2,0)</f>
        <v>Matt</v>
      </c>
      <c r="T89" s="4"/>
      <c r="U89" s="4"/>
      <c r="V89" s="4"/>
      <c r="W89" s="4"/>
      <c r="X89" s="4"/>
      <c r="Y89" s="4"/>
      <c r="Z89" s="4"/>
      <c r="AB89" s="4"/>
      <c r="AC89" s="4"/>
      <c r="AF89" s="4"/>
      <c r="AG89" s="4"/>
    </row>
    <row r="90" spans="1:33" ht="12.75" hidden="1" outlineLevel="1" x14ac:dyDescent="0.2">
      <c r="A90" s="19" t="s">
        <v>52</v>
      </c>
      <c r="B90" s="76"/>
      <c r="C90" s="76"/>
      <c r="D90" s="76"/>
      <c r="E90" s="76"/>
      <c r="F90" s="16"/>
      <c r="G90" s="16"/>
      <c r="H90" s="76"/>
      <c r="I90" s="16"/>
      <c r="J90" s="76"/>
      <c r="K90" s="17">
        <f>SUM(Table191519[[#This Row],[10]:[18]])</f>
        <v>0</v>
      </c>
      <c r="L90" s="15">
        <f>Table191519[[#This Row],[In]]</f>
        <v>0</v>
      </c>
      <c r="M90" s="75">
        <f>IF(Table191519[[#This Row],[Gross]]&gt;0,Table191519[[#This Row],[Gross]]-Table191519[[#This Row],[HCP]],0)</f>
        <v>0</v>
      </c>
      <c r="N90" s="75">
        <f>VLOOKUP(Table191519[[#This Row],[Hole]],'Player Info'!A:C,3,0)/2</f>
        <v>8</v>
      </c>
      <c r="O90" s="14" t="s">
        <v>79</v>
      </c>
      <c r="P90" s="16">
        <v>6</v>
      </c>
      <c r="Q90" s="21"/>
      <c r="R90" s="21"/>
      <c r="S90" s="15" t="str">
        <f>VLOOKUP(Table191519[[#This Row],[Hole]],'Player Info'!A:B,2,0)</f>
        <v>Matt</v>
      </c>
      <c r="T90" s="4"/>
      <c r="U90" s="4"/>
      <c r="V90" s="4"/>
      <c r="W90" s="4"/>
      <c r="X90" s="4"/>
      <c r="Y90" s="4"/>
      <c r="Z90" s="4"/>
      <c r="AB90" s="4"/>
      <c r="AC90" s="4"/>
      <c r="AF90" s="4"/>
      <c r="AG90" s="4"/>
    </row>
    <row r="91" spans="1:33" ht="12.75" hidden="1" outlineLevel="1" x14ac:dyDescent="0.2">
      <c r="A91" s="19" t="s">
        <v>36</v>
      </c>
      <c r="B91" s="14"/>
      <c r="C91" s="74"/>
      <c r="D91" s="74"/>
      <c r="E91" s="74"/>
      <c r="F91" s="74"/>
      <c r="G91" s="74"/>
      <c r="H91" s="74"/>
      <c r="I91" s="74"/>
      <c r="J91" s="14"/>
      <c r="K91" s="15">
        <f>SUM(Table191519[[#This Row],[10]:[18]])</f>
        <v>0</v>
      </c>
      <c r="L91" s="15">
        <f>Table191519[[#This Row],[In]]</f>
        <v>0</v>
      </c>
      <c r="M91" s="75">
        <f>IF(Table191519[[#This Row],[Gross]]&gt;0,Table191519[[#This Row],[Gross]]-Table191519[[#This Row],[HCP]],0)</f>
        <v>0</v>
      </c>
      <c r="N91" s="75">
        <f>VLOOKUP(Table191519[[#This Row],[Hole]],'Player Info'!A:C,3,0)/2</f>
        <v>3</v>
      </c>
      <c r="O91" s="14" t="s">
        <v>80</v>
      </c>
      <c r="P91" s="14">
        <v>0</v>
      </c>
      <c r="Q91" s="21"/>
      <c r="R91" s="21"/>
      <c r="S91" s="15" t="str">
        <f>VLOOKUP(Table191519[[#This Row],[Hole]],'Player Info'!A:B,2,0)</f>
        <v>Danny</v>
      </c>
      <c r="T91" s="4"/>
      <c r="U91" s="4"/>
      <c r="V91" s="4"/>
      <c r="W91" s="4"/>
      <c r="X91" s="4"/>
      <c r="Y91" s="4"/>
      <c r="Z91" s="4"/>
      <c r="AB91" s="4"/>
      <c r="AC91" s="4"/>
      <c r="AF91" s="4"/>
      <c r="AG91" s="4"/>
    </row>
    <row r="92" spans="1:33" ht="12.75" hidden="1" outlineLevel="1" x14ac:dyDescent="0.2">
      <c r="A92" s="19" t="s">
        <v>54</v>
      </c>
      <c r="B92" s="71"/>
      <c r="C92" s="14"/>
      <c r="D92" s="71"/>
      <c r="E92" s="71"/>
      <c r="F92" s="14"/>
      <c r="G92" s="14"/>
      <c r="H92" s="71"/>
      <c r="I92" s="14"/>
      <c r="J92" s="71"/>
      <c r="K92" s="15">
        <f>SUM(Table191519[[#This Row],[10]:[18]])</f>
        <v>0</v>
      </c>
      <c r="L92" s="15">
        <f>Table191519[[#This Row],[In]]</f>
        <v>0</v>
      </c>
      <c r="M92" s="75">
        <f>IF(Table191519[[#This Row],[Gross]]&gt;0,Table191519[[#This Row],[Gross]]-Table191519[[#This Row],[HCP]],0)</f>
        <v>0</v>
      </c>
      <c r="N92" s="75">
        <f>VLOOKUP(Table191519[[#This Row],[Hole]],'Player Info'!A:C,3,0)/2</f>
        <v>7.5</v>
      </c>
      <c r="O92" s="14" t="s">
        <v>80</v>
      </c>
      <c r="P92" s="14">
        <v>5</v>
      </c>
      <c r="Q92" s="21"/>
      <c r="R92" s="21"/>
      <c r="S92" s="15" t="str">
        <f>VLOOKUP(Table191519[[#This Row],[Hole]],'Player Info'!A:B,2,0)</f>
        <v>Danny</v>
      </c>
      <c r="T92" s="4"/>
      <c r="U92" s="4"/>
      <c r="V92" s="4"/>
      <c r="W92" s="4"/>
      <c r="X92" s="4"/>
      <c r="Y92" s="4"/>
      <c r="Z92" s="4"/>
      <c r="AB92" s="4"/>
      <c r="AC92" s="4"/>
      <c r="AF92" s="4"/>
      <c r="AG92" s="4"/>
    </row>
    <row r="93" spans="1:33" ht="12.75" hidden="1" outlineLevel="1" x14ac:dyDescent="0.2">
      <c r="A93" s="19" t="s">
        <v>50</v>
      </c>
      <c r="B93" s="14"/>
      <c r="C93" s="14"/>
      <c r="D93" s="71"/>
      <c r="E93" s="71"/>
      <c r="F93" s="14"/>
      <c r="G93" s="14"/>
      <c r="H93" s="14"/>
      <c r="I93" s="14"/>
      <c r="J93" s="14"/>
      <c r="K93" s="15">
        <f>SUM(Table191519[[#This Row],[10]:[18]])</f>
        <v>0</v>
      </c>
      <c r="L93" s="15">
        <f>Table191519[[#This Row],[In]]</f>
        <v>0</v>
      </c>
      <c r="M93" s="75">
        <f>IF(Table191519[[#This Row],[Gross]]&gt;0,Table191519[[#This Row],[Gross]]-Table191519[[#This Row],[HCP]],0)</f>
        <v>0</v>
      </c>
      <c r="N93" s="75">
        <f>VLOOKUP(Table191519[[#This Row],[Hole]],'Player Info'!A:C,3,0)/2</f>
        <v>5</v>
      </c>
      <c r="O93" s="14" t="s">
        <v>80</v>
      </c>
      <c r="P93" s="14">
        <v>2</v>
      </c>
      <c r="Q93" s="21"/>
      <c r="R93" s="21"/>
      <c r="S93" s="15" t="str">
        <f>VLOOKUP(Table191519[[#This Row],[Hole]],'Player Info'!A:B,2,0)</f>
        <v>Eric</v>
      </c>
      <c r="T93" s="4"/>
      <c r="U93" s="4"/>
      <c r="V93" s="4"/>
      <c r="W93" s="4"/>
      <c r="X93" s="4"/>
      <c r="Y93" s="4"/>
      <c r="Z93" s="4"/>
      <c r="AB93" s="4"/>
      <c r="AC93" s="4"/>
      <c r="AF93" s="4"/>
      <c r="AG93" s="4"/>
    </row>
    <row r="94" spans="1:33" ht="12.75" hidden="1" outlineLevel="1" x14ac:dyDescent="0.2">
      <c r="A94" s="19" t="s">
        <v>51</v>
      </c>
      <c r="B94" s="14"/>
      <c r="C94" s="14"/>
      <c r="D94" s="71"/>
      <c r="E94" s="71"/>
      <c r="F94" s="14"/>
      <c r="G94" s="14"/>
      <c r="H94" s="71"/>
      <c r="I94" s="14"/>
      <c r="J94" s="71"/>
      <c r="K94" s="15">
        <f>SUM(Table191519[[#This Row],[10]:[18]])</f>
        <v>0</v>
      </c>
      <c r="L94" s="15">
        <f>Table191519[[#This Row],[In]]</f>
        <v>0</v>
      </c>
      <c r="M94" s="75">
        <f>IF(Table191519[[#This Row],[Gross]]&gt;0,Table191519[[#This Row],[Gross]]-Table191519[[#This Row],[HCP]],0)</f>
        <v>0</v>
      </c>
      <c r="N94" s="75">
        <f>VLOOKUP(Table191519[[#This Row],[Hole]],'Player Info'!A:C,3,0)/2</f>
        <v>7</v>
      </c>
      <c r="O94" s="14" t="s">
        <v>80</v>
      </c>
      <c r="P94" s="14">
        <v>4</v>
      </c>
      <c r="Q94" s="21"/>
      <c r="R94" s="21"/>
      <c r="S94" s="15" t="str">
        <f>VLOOKUP(Table191519[[#This Row],[Hole]],'Player Info'!A:B,2,0)</f>
        <v>Eric</v>
      </c>
      <c r="T94" s="4"/>
      <c r="U94" s="4"/>
      <c r="V94" s="4"/>
      <c r="W94" s="4"/>
      <c r="X94" s="4"/>
      <c r="Y94" s="4"/>
      <c r="Z94" s="4"/>
      <c r="AB94" s="4"/>
      <c r="AC94" s="4"/>
      <c r="AF94" s="4"/>
      <c r="AG94" s="4"/>
    </row>
    <row r="95" spans="1:33" ht="12.6" customHeight="1" collapsed="1" x14ac:dyDescent="0.25">
      <c r="P95" s="4"/>
      <c r="Q95" s="4"/>
      <c r="R95"/>
      <c r="T95" s="4"/>
      <c r="U95" s="4"/>
      <c r="X95" s="4"/>
      <c r="Y95" s="4"/>
      <c r="Z95" s="4"/>
      <c r="AB95" s="4"/>
      <c r="AC95" s="4"/>
      <c r="AF95" s="4"/>
      <c r="AG95" s="4"/>
    </row>
    <row r="96" spans="1:33" x14ac:dyDescent="0.25">
      <c r="A96" s="78" t="s">
        <v>99</v>
      </c>
      <c r="B96" s="79"/>
      <c r="C96" s="79"/>
      <c r="D96" s="79"/>
      <c r="E96" s="79"/>
      <c r="F96" s="79"/>
      <c r="G96" s="79"/>
      <c r="H96" s="79"/>
      <c r="I96" s="79"/>
      <c r="J96" s="79"/>
      <c r="K96" s="79"/>
      <c r="L96" s="79"/>
      <c r="M96" s="79"/>
      <c r="N96" s="79"/>
      <c r="O96" s="79"/>
      <c r="P96" s="79"/>
      <c r="Q96" s="79"/>
      <c r="R96" s="79"/>
      <c r="S96" s="79"/>
      <c r="T96" s="79"/>
      <c r="U96" s="79"/>
      <c r="V96" s="79"/>
      <c r="W96" s="79"/>
      <c r="X96" s="79"/>
      <c r="Y96" s="80"/>
      <c r="Z96" s="79"/>
      <c r="AA96" s="78"/>
      <c r="AB96" s="81"/>
      <c r="AC96" s="81"/>
    </row>
    <row r="97" spans="1:33" ht="12.75" hidden="1" outlineLevel="1" x14ac:dyDescent="0.2">
      <c r="A97" s="1" t="s">
        <v>0</v>
      </c>
      <c r="B97" s="2" t="s">
        <v>95</v>
      </c>
      <c r="T97" s="4"/>
      <c r="U97" s="4"/>
      <c r="V97" s="4"/>
      <c r="W97" s="4"/>
      <c r="X97" s="4"/>
      <c r="Y97" s="4"/>
      <c r="Z97" s="4"/>
      <c r="AB97" s="4"/>
      <c r="AC97" s="4"/>
      <c r="AF97" s="4"/>
      <c r="AG97" s="4"/>
    </row>
    <row r="98" spans="1:33" ht="12.75" hidden="1" outlineLevel="1" x14ac:dyDescent="0.2">
      <c r="A98" s="8" t="s">
        <v>2</v>
      </c>
      <c r="B98" s="9">
        <v>431</v>
      </c>
      <c r="C98" s="9">
        <v>495</v>
      </c>
      <c r="D98" s="9">
        <v>428</v>
      </c>
      <c r="E98" s="9">
        <v>184</v>
      </c>
      <c r="F98" s="9">
        <v>372</v>
      </c>
      <c r="G98" s="9">
        <v>159</v>
      </c>
      <c r="H98" s="9">
        <v>545</v>
      </c>
      <c r="I98" s="9">
        <v>428</v>
      </c>
      <c r="J98" s="9">
        <v>400</v>
      </c>
      <c r="K98" s="9">
        <f>SUM(B98:J98)</f>
        <v>3442</v>
      </c>
      <c r="L98" s="7"/>
      <c r="M98" s="7"/>
      <c r="N98" s="7"/>
      <c r="O98" s="7"/>
      <c r="P98" s="7"/>
      <c r="Q98" s="7"/>
      <c r="R98" s="7"/>
      <c r="S98" s="7"/>
      <c r="T98" s="4"/>
      <c r="U98" s="4"/>
      <c r="V98" s="4"/>
      <c r="W98" s="4"/>
      <c r="X98" s="4"/>
      <c r="Y98" s="4"/>
      <c r="Z98" s="4"/>
      <c r="AB98" s="4"/>
      <c r="AC98" s="4"/>
      <c r="AF98" s="4"/>
      <c r="AG98" s="4"/>
    </row>
    <row r="99" spans="1:33" ht="12.75" hidden="1" outlineLevel="1" x14ac:dyDescent="0.2">
      <c r="A99" s="5" t="s">
        <v>3</v>
      </c>
      <c r="B99" s="6">
        <v>7</v>
      </c>
      <c r="C99" s="6">
        <v>11</v>
      </c>
      <c r="D99" s="6">
        <v>1</v>
      </c>
      <c r="E99" s="6">
        <v>13</v>
      </c>
      <c r="F99" s="6">
        <v>9</v>
      </c>
      <c r="G99" s="6">
        <v>17</v>
      </c>
      <c r="H99" s="6">
        <v>5</v>
      </c>
      <c r="I99" s="6">
        <v>15</v>
      </c>
      <c r="J99" s="6">
        <v>3</v>
      </c>
      <c r="K99" s="7"/>
      <c r="L99" s="7"/>
      <c r="M99" s="7"/>
      <c r="N99" s="7"/>
      <c r="O99" s="7"/>
      <c r="P99" s="7"/>
      <c r="Q99" s="7"/>
      <c r="R99" s="7"/>
      <c r="S99" s="7"/>
      <c r="T99" s="4"/>
      <c r="U99" s="4"/>
      <c r="V99" s="4"/>
      <c r="W99" s="4"/>
      <c r="X99" s="4"/>
      <c r="Y99" s="4"/>
      <c r="Z99" s="4"/>
      <c r="AB99" s="4"/>
      <c r="AC99" s="4"/>
      <c r="AF99" s="4"/>
      <c r="AG99" s="4"/>
    </row>
    <row r="100" spans="1:33" ht="12.75" hidden="1" outlineLevel="1" x14ac:dyDescent="0.2">
      <c r="A100" s="10" t="s">
        <v>8</v>
      </c>
      <c r="B100" s="11">
        <v>4</v>
      </c>
      <c r="C100" s="11">
        <v>5</v>
      </c>
      <c r="D100" s="11">
        <v>4</v>
      </c>
      <c r="E100" s="11">
        <v>3</v>
      </c>
      <c r="F100" s="11">
        <v>4</v>
      </c>
      <c r="G100" s="11">
        <v>3</v>
      </c>
      <c r="H100" s="11">
        <v>5</v>
      </c>
      <c r="I100" s="11">
        <v>4</v>
      </c>
      <c r="J100" s="11">
        <v>4</v>
      </c>
      <c r="K100" s="11"/>
      <c r="L100" s="11"/>
      <c r="M100" s="7"/>
      <c r="N100" s="7"/>
      <c r="O100" s="7"/>
      <c r="P100" s="7"/>
      <c r="Q100" s="7"/>
      <c r="R100" s="7"/>
      <c r="S100" s="7"/>
      <c r="T100" s="4"/>
      <c r="U100" s="4"/>
      <c r="V100" s="4"/>
      <c r="W100" s="4"/>
      <c r="X100" s="4"/>
      <c r="Y100" s="4"/>
      <c r="Z100" s="4"/>
      <c r="AB100" s="4"/>
      <c r="AC100" s="4"/>
      <c r="AF100" s="4"/>
      <c r="AG100" s="4"/>
    </row>
    <row r="101" spans="1:33" ht="12.75" hidden="1" outlineLevel="1" x14ac:dyDescent="0.2">
      <c r="A101" s="12" t="s">
        <v>9</v>
      </c>
      <c r="B101" s="13" t="s">
        <v>19</v>
      </c>
      <c r="C101" s="13" t="s">
        <v>20</v>
      </c>
      <c r="D101" s="13" t="s">
        <v>18</v>
      </c>
      <c r="E101" s="13" t="s">
        <v>16</v>
      </c>
      <c r="F101" s="13" t="s">
        <v>17</v>
      </c>
      <c r="G101" s="13" t="s">
        <v>21</v>
      </c>
      <c r="H101" s="13" t="s">
        <v>22</v>
      </c>
      <c r="I101" s="13" t="s">
        <v>23</v>
      </c>
      <c r="J101" s="13" t="s">
        <v>24</v>
      </c>
      <c r="K101" s="13" t="s">
        <v>5</v>
      </c>
      <c r="L101" s="13" t="s">
        <v>34</v>
      </c>
      <c r="M101" s="13" t="s">
        <v>7</v>
      </c>
      <c r="N101" s="13" t="s">
        <v>6</v>
      </c>
      <c r="O101" s="13" t="s">
        <v>35</v>
      </c>
      <c r="P101" s="13" t="s">
        <v>81</v>
      </c>
      <c r="Q101" s="13" t="s">
        <v>85</v>
      </c>
      <c r="R101" s="13" t="s">
        <v>38</v>
      </c>
      <c r="S101" s="13" t="s">
        <v>11</v>
      </c>
      <c r="T101" s="4"/>
      <c r="U101" s="4"/>
      <c r="V101" s="4"/>
      <c r="W101" s="4"/>
      <c r="X101" s="4"/>
      <c r="Y101" s="4"/>
      <c r="Z101" s="4"/>
      <c r="AB101" s="4"/>
      <c r="AC101" s="4"/>
      <c r="AF101" s="4"/>
      <c r="AG101" s="4"/>
    </row>
    <row r="102" spans="1:33" ht="12.75" hidden="1" outlineLevel="1" x14ac:dyDescent="0.2">
      <c r="A102" s="19" t="s">
        <v>37</v>
      </c>
      <c r="B102" s="14"/>
      <c r="C102" s="74"/>
      <c r="D102" s="74"/>
      <c r="E102" s="74"/>
      <c r="F102" s="74"/>
      <c r="G102" s="74"/>
      <c r="H102" s="74"/>
      <c r="I102" s="74"/>
      <c r="J102" s="74"/>
      <c r="K102" s="15">
        <f>SUM(Table191620[[#This Row],[1]:[9]])</f>
        <v>0</v>
      </c>
      <c r="L102" s="15">
        <f>Table191620[[#This Row],[Out]]</f>
        <v>0</v>
      </c>
      <c r="M102" s="75">
        <f>IF(Table191620[[#This Row],[Gross]]&gt;0,Table191620[[#This Row],[Gross]]-Table191620[[#This Row],[HCP]],0)</f>
        <v>0</v>
      </c>
      <c r="N102" s="75">
        <f>VLOOKUP(Table191620[[#This Row],[Hole]],'Player Info'!A:C,3,0)/2</f>
        <v>4.5</v>
      </c>
      <c r="O102" s="14" t="s">
        <v>78</v>
      </c>
      <c r="P102" s="14">
        <v>0</v>
      </c>
      <c r="Q102" s="21"/>
      <c r="R102" s="21"/>
      <c r="S102" s="15" t="str">
        <f>VLOOKUP(Table191620[[#This Row],[Hole]],'Player Info'!A:B,2,0)</f>
        <v>Danny</v>
      </c>
      <c r="T102" s="4"/>
      <c r="U102" s="4"/>
      <c r="V102" s="4"/>
      <c r="W102" s="4"/>
      <c r="X102" s="4"/>
      <c r="Y102" s="4"/>
      <c r="Z102" s="4"/>
      <c r="AB102" s="4"/>
      <c r="AC102" s="4"/>
      <c r="AF102" s="4"/>
      <c r="AG102" s="4"/>
    </row>
    <row r="103" spans="1:33" ht="12.75" hidden="1" outlineLevel="1" x14ac:dyDescent="0.2">
      <c r="A103" s="19" t="s">
        <v>47</v>
      </c>
      <c r="B103" s="14"/>
      <c r="C103" s="74"/>
      <c r="D103" s="74"/>
      <c r="E103" s="74"/>
      <c r="F103" s="74"/>
      <c r="G103" s="74"/>
      <c r="H103" s="74"/>
      <c r="I103" s="74"/>
      <c r="J103" s="14"/>
      <c r="K103" s="15">
        <f>SUM(Table191620[[#This Row],[1]:[9]])</f>
        <v>0</v>
      </c>
      <c r="L103" s="15">
        <f>Table191620[[#This Row],[Out]]</f>
        <v>0</v>
      </c>
      <c r="M103" s="75">
        <f>IF(Table191620[[#This Row],[Gross]]&gt;0,Table191620[[#This Row],[Gross]]-Table191620[[#This Row],[HCP]],0)</f>
        <v>0</v>
      </c>
      <c r="N103" s="75">
        <f>VLOOKUP(Table191620[[#This Row],[Hole]],'Player Info'!A:C,3,0)/2</f>
        <v>5</v>
      </c>
      <c r="O103" s="14" t="s">
        <v>78</v>
      </c>
      <c r="P103" s="14">
        <v>0</v>
      </c>
      <c r="Q103" s="21"/>
      <c r="R103" s="21"/>
      <c r="S103" s="15" t="str">
        <f>VLOOKUP(Table191620[[#This Row],[Hole]],'Player Info'!A:B,2,0)</f>
        <v>Danny</v>
      </c>
      <c r="T103" s="4"/>
      <c r="U103" s="4"/>
      <c r="V103" s="4"/>
      <c r="W103" s="4"/>
      <c r="X103" s="4"/>
      <c r="Y103" s="4"/>
      <c r="Z103" s="4"/>
      <c r="AB103" s="4"/>
      <c r="AC103" s="4"/>
      <c r="AF103" s="4"/>
      <c r="AG103" s="4"/>
    </row>
    <row r="104" spans="1:33" ht="12.75" hidden="1" outlineLevel="1" x14ac:dyDescent="0.2">
      <c r="A104" s="19" t="s">
        <v>50</v>
      </c>
      <c r="B104" s="14"/>
      <c r="C104" s="14"/>
      <c r="D104" s="14"/>
      <c r="E104" s="14"/>
      <c r="F104" s="14"/>
      <c r="G104" s="14"/>
      <c r="H104" s="14"/>
      <c r="I104" s="14"/>
      <c r="J104" s="14"/>
      <c r="K104" s="15">
        <f>SUM(Table191620[[#This Row],[1]:[9]])</f>
        <v>0</v>
      </c>
      <c r="L104" s="15">
        <f>Table191620[[#This Row],[Out]]</f>
        <v>0</v>
      </c>
      <c r="M104" s="75">
        <f>IF(Table191620[[#This Row],[Gross]]&gt;0,Table191620[[#This Row],[Gross]]-Table191620[[#This Row],[HCP]],0)</f>
        <v>0</v>
      </c>
      <c r="N104" s="75">
        <f>VLOOKUP(Table191620[[#This Row],[Hole]],'Player Info'!A:C,3,0)/2</f>
        <v>5</v>
      </c>
      <c r="O104" s="14" t="s">
        <v>78</v>
      </c>
      <c r="P104" s="14">
        <v>0</v>
      </c>
      <c r="Q104" s="21"/>
      <c r="R104" s="21"/>
      <c r="S104" s="15" t="str">
        <f>VLOOKUP(Table191620[[#This Row],[Hole]],'Player Info'!A:B,2,0)</f>
        <v>Eric</v>
      </c>
      <c r="T104" s="4"/>
      <c r="U104" s="4"/>
      <c r="V104" s="4"/>
      <c r="W104" s="4"/>
      <c r="X104" s="4"/>
      <c r="Y104" s="4"/>
      <c r="Z104" s="4"/>
      <c r="AB104" s="4"/>
      <c r="AC104" s="4"/>
      <c r="AF104" s="4"/>
      <c r="AG104" s="4"/>
    </row>
    <row r="105" spans="1:33" ht="12.75" hidden="1" outlineLevel="1" x14ac:dyDescent="0.2">
      <c r="A105" s="19" t="s">
        <v>51</v>
      </c>
      <c r="B105" s="14"/>
      <c r="C105" s="14"/>
      <c r="D105" s="71"/>
      <c r="E105" s="14"/>
      <c r="F105" s="14"/>
      <c r="G105" s="14"/>
      <c r="H105" s="14"/>
      <c r="I105" s="14"/>
      <c r="J105" s="71"/>
      <c r="K105" s="15">
        <f>SUM(Table191620[[#This Row],[1]:[9]])</f>
        <v>0</v>
      </c>
      <c r="L105" s="15">
        <f>Table191620[[#This Row],[Out]]</f>
        <v>0</v>
      </c>
      <c r="M105" s="75">
        <f>IF(Table191620[[#This Row],[Gross]]&gt;0,Table191620[[#This Row],[Gross]]-Table191620[[#This Row],[HCP]],0)</f>
        <v>0</v>
      </c>
      <c r="N105" s="75">
        <f>VLOOKUP(Table191620[[#This Row],[Hole]],'Player Info'!A:C,3,0)/2</f>
        <v>7</v>
      </c>
      <c r="O105" s="14" t="s">
        <v>78</v>
      </c>
      <c r="P105" s="14">
        <v>2</v>
      </c>
      <c r="Q105" s="21"/>
      <c r="R105" s="21"/>
      <c r="S105" s="15" t="str">
        <f>VLOOKUP(Table191620[[#This Row],[Hole]],'Player Info'!A:B,2,0)</f>
        <v>Eric</v>
      </c>
      <c r="T105" s="4"/>
      <c r="U105" s="4"/>
      <c r="V105" s="4"/>
      <c r="W105" s="4"/>
      <c r="X105" s="4"/>
      <c r="Y105" s="4"/>
      <c r="Z105" s="4"/>
      <c r="AB105" s="4"/>
      <c r="AC105" s="4"/>
      <c r="AF105" s="4"/>
      <c r="AG105" s="4"/>
    </row>
    <row r="106" spans="1:33" ht="12.75" hidden="1" outlineLevel="1" x14ac:dyDescent="0.2">
      <c r="A106" s="19" t="s">
        <v>14</v>
      </c>
      <c r="B106" s="14"/>
      <c r="C106" s="74"/>
      <c r="D106" s="74"/>
      <c r="E106" s="74"/>
      <c r="F106" s="74"/>
      <c r="G106" s="74"/>
      <c r="H106" s="74"/>
      <c r="I106" s="74"/>
      <c r="J106" s="14"/>
      <c r="K106" s="15">
        <f>SUM(Table191620[[#This Row],[1]:[9]])</f>
        <v>0</v>
      </c>
      <c r="L106" s="15">
        <f>Table191620[[#This Row],[Out]]</f>
        <v>0</v>
      </c>
      <c r="M106" s="75">
        <f>IF(Table191620[[#This Row],[Gross]]&gt;0,Table191620[[#This Row],[Gross]]-Table191620[[#This Row],[HCP]],0)</f>
        <v>0</v>
      </c>
      <c r="N106" s="75">
        <f>VLOOKUP(Table191620[[#This Row],[Hole]],'Player Info'!A:C,3,0)/2</f>
        <v>3</v>
      </c>
      <c r="O106" s="14" t="s">
        <v>79</v>
      </c>
      <c r="P106" s="14">
        <v>0</v>
      </c>
      <c r="Q106" s="21"/>
      <c r="R106" s="21"/>
      <c r="S106" s="15" t="str">
        <f>VLOOKUP(Table191620[[#This Row],[Hole]],'Player Info'!A:B,2,0)</f>
        <v>Eric</v>
      </c>
      <c r="T106" s="4"/>
      <c r="U106" s="4"/>
      <c r="V106" s="4"/>
      <c r="W106" s="4"/>
      <c r="X106" s="4"/>
      <c r="Y106" s="4"/>
      <c r="Z106" s="4"/>
      <c r="AB106" s="4"/>
      <c r="AC106" s="4"/>
      <c r="AF106" s="4"/>
      <c r="AG106" s="4"/>
    </row>
    <row r="107" spans="1:33" ht="12.75" hidden="1" outlineLevel="1" x14ac:dyDescent="0.2">
      <c r="A107" s="19" t="s">
        <v>15</v>
      </c>
      <c r="B107" s="71"/>
      <c r="C107" s="14"/>
      <c r="D107" s="71"/>
      <c r="E107" s="14"/>
      <c r="F107" s="71"/>
      <c r="G107" s="14"/>
      <c r="H107" s="71"/>
      <c r="I107" s="14"/>
      <c r="J107" s="71"/>
      <c r="K107" s="15">
        <f>SUM(Table191620[[#This Row],[1]:[9]])</f>
        <v>0</v>
      </c>
      <c r="L107" s="15">
        <f>Table191620[[#This Row],[Out]]</f>
        <v>0</v>
      </c>
      <c r="M107" s="75">
        <f>IF(Table191620[[#This Row],[Gross]]&gt;0,Table191620[[#This Row],[Gross]]-Table191620[[#This Row],[HCP]],0)</f>
        <v>0</v>
      </c>
      <c r="N107" s="75">
        <f>VLOOKUP(Table191620[[#This Row],[Hole]],'Player Info'!A:C,3,0)/2</f>
        <v>7.5</v>
      </c>
      <c r="O107" s="14" t="s">
        <v>79</v>
      </c>
      <c r="P107" s="14">
        <v>5</v>
      </c>
      <c r="Q107" s="21"/>
      <c r="R107" s="21"/>
      <c r="S107" s="15" t="str">
        <f>VLOOKUP(Table191620[[#This Row],[Hole]],'Player Info'!A:B,2,0)</f>
        <v>Eric</v>
      </c>
      <c r="T107" s="4"/>
      <c r="U107" s="4"/>
      <c r="V107" s="4"/>
      <c r="W107" s="4"/>
      <c r="X107" s="4"/>
      <c r="Y107" s="4"/>
      <c r="Z107" s="4"/>
      <c r="AB107" s="4"/>
      <c r="AC107" s="4"/>
      <c r="AF107" s="4"/>
      <c r="AG107" s="4"/>
    </row>
    <row r="108" spans="1:33" ht="12.75" hidden="1" outlineLevel="1" x14ac:dyDescent="0.2">
      <c r="A108" s="19" t="s">
        <v>45</v>
      </c>
      <c r="B108" s="14"/>
      <c r="C108" s="74"/>
      <c r="D108" s="74"/>
      <c r="E108" s="74"/>
      <c r="F108" s="74"/>
      <c r="G108" s="74"/>
      <c r="H108" s="74"/>
      <c r="I108" s="74"/>
      <c r="J108" s="74"/>
      <c r="K108" s="15">
        <f>SUM(Table191620[[#This Row],[1]:[9]])</f>
        <v>0</v>
      </c>
      <c r="L108" s="15">
        <f>Table191620[[#This Row],[Out]]</f>
        <v>0</v>
      </c>
      <c r="M108" s="75">
        <f>IF(Table191620[[#This Row],[Gross]]&gt;0,Table191620[[#This Row],[Gross]]-Table191620[[#This Row],[HCP]],0)</f>
        <v>0</v>
      </c>
      <c r="N108" s="75">
        <f>VLOOKUP(Table191620[[#This Row],[Hole]],'Player Info'!A:C,3,0)/2</f>
        <v>3</v>
      </c>
      <c r="O108" s="14" t="s">
        <v>79</v>
      </c>
      <c r="P108" s="14">
        <v>0</v>
      </c>
      <c r="Q108" s="21"/>
      <c r="R108" s="21"/>
      <c r="S108" s="15" t="str">
        <f>VLOOKUP(Table191620[[#This Row],[Hole]],'Player Info'!A:B,2,0)</f>
        <v>Matt</v>
      </c>
      <c r="T108" s="4"/>
      <c r="U108" s="4"/>
      <c r="V108" s="4"/>
      <c r="W108" s="4"/>
      <c r="X108" s="4"/>
      <c r="Y108" s="4"/>
      <c r="Z108" s="4"/>
      <c r="AB108" s="4"/>
      <c r="AC108" s="4"/>
      <c r="AF108" s="4"/>
      <c r="AG108" s="4"/>
    </row>
    <row r="109" spans="1:33" ht="12.75" hidden="1" outlineLevel="1" x14ac:dyDescent="0.2">
      <c r="A109" s="19" t="s">
        <v>48</v>
      </c>
      <c r="B109" s="76"/>
      <c r="C109" s="16"/>
      <c r="D109" s="76"/>
      <c r="E109" s="16"/>
      <c r="F109" s="76"/>
      <c r="G109" s="16"/>
      <c r="H109" s="76"/>
      <c r="I109" s="16"/>
      <c r="J109" s="76"/>
      <c r="K109" s="17">
        <f>SUM(Table191620[[#This Row],[1]:[9]])</f>
        <v>0</v>
      </c>
      <c r="L109" s="17">
        <f>Table191620[[#This Row],[Out]]</f>
        <v>0</v>
      </c>
      <c r="M109" s="75">
        <f>IF(Table191620[[#This Row],[Gross]]&gt;0,Table191620[[#This Row],[Gross]]-Table191620[[#This Row],[HCP]],0)</f>
        <v>0</v>
      </c>
      <c r="N109" s="75">
        <f>VLOOKUP(Table191620[[#This Row],[Hole]],'Player Info'!A:C,3,0)/2</f>
        <v>8</v>
      </c>
      <c r="O109" s="14" t="s">
        <v>79</v>
      </c>
      <c r="P109" s="16">
        <v>5</v>
      </c>
      <c r="Q109" s="21"/>
      <c r="R109" s="21"/>
      <c r="S109" s="15" t="str">
        <f>VLOOKUP(Table191620[[#This Row],[Hole]],'Player Info'!A:B,2,0)</f>
        <v>Matt</v>
      </c>
      <c r="T109" s="4"/>
      <c r="U109" s="4"/>
      <c r="V109" s="4"/>
      <c r="W109" s="4"/>
      <c r="X109" s="4"/>
      <c r="Y109" s="4"/>
      <c r="Z109" s="4"/>
      <c r="AB109" s="4"/>
      <c r="AC109" s="4"/>
      <c r="AF109" s="4"/>
      <c r="AG109" s="4"/>
    </row>
    <row r="110" spans="1:33" ht="12.75" hidden="1" outlineLevel="1" x14ac:dyDescent="0.2">
      <c r="A110" s="19" t="s">
        <v>49</v>
      </c>
      <c r="B110" s="14"/>
      <c r="C110" s="14"/>
      <c r="D110" s="14"/>
      <c r="E110" s="14"/>
      <c r="F110" s="14"/>
      <c r="G110" s="14"/>
      <c r="H110" s="14"/>
      <c r="I110" s="14"/>
      <c r="J110" s="14"/>
      <c r="K110" s="15">
        <f>SUM(Table191620[[#This Row],[1]:[9]])</f>
        <v>0</v>
      </c>
      <c r="L110" s="15">
        <f>Table191620[[#This Row],[Out]]</f>
        <v>0</v>
      </c>
      <c r="M110" s="75">
        <f>IF(Table191620[[#This Row],[Gross]]&gt;0,Table191620[[#This Row],[Gross]]-Table191620[[#This Row],[HCP]],0)</f>
        <v>0</v>
      </c>
      <c r="N110" s="75">
        <f>VLOOKUP(Table191620[[#This Row],[Hole]],'Player Info'!A:C,3,0)/2</f>
        <v>1.5</v>
      </c>
      <c r="O110" s="14" t="s">
        <v>80</v>
      </c>
      <c r="P110" s="14">
        <v>0</v>
      </c>
      <c r="Q110" s="21"/>
      <c r="R110" s="21"/>
      <c r="S110" s="15" t="str">
        <f>VLOOKUP(Table191620[[#This Row],[Hole]],'Player Info'!A:B,2,0)</f>
        <v>Matt</v>
      </c>
      <c r="T110" s="4"/>
      <c r="U110" s="4"/>
      <c r="V110" s="4"/>
      <c r="W110" s="4"/>
      <c r="X110" s="4"/>
      <c r="Y110" s="4"/>
      <c r="Z110" s="4"/>
      <c r="AB110" s="4"/>
      <c r="AC110" s="4"/>
      <c r="AF110" s="4"/>
      <c r="AG110" s="4"/>
    </row>
    <row r="111" spans="1:33" ht="12.75" hidden="1" outlineLevel="1" x14ac:dyDescent="0.2">
      <c r="A111" s="19" t="s">
        <v>52</v>
      </c>
      <c r="B111" s="71"/>
      <c r="C111" s="71"/>
      <c r="D111" s="71"/>
      <c r="E111" s="14"/>
      <c r="F111" s="71"/>
      <c r="G111" s="14"/>
      <c r="H111" s="71"/>
      <c r="I111" s="14"/>
      <c r="J111" s="71"/>
      <c r="K111" s="15">
        <f>SUM(Table191620[[#This Row],[1]:[9]])</f>
        <v>0</v>
      </c>
      <c r="L111" s="15">
        <f>Table191620[[#This Row],[Out]]</f>
        <v>0</v>
      </c>
      <c r="M111" s="75">
        <f>IF(Table191620[[#This Row],[Gross]]&gt;0,Table191620[[#This Row],[Gross]]-Table191620[[#This Row],[HCP]],0)</f>
        <v>0</v>
      </c>
      <c r="N111" s="75">
        <f>VLOOKUP(Table191620[[#This Row],[Hole]],'Player Info'!A:C,3,0)/2</f>
        <v>8</v>
      </c>
      <c r="O111" s="14" t="s">
        <v>80</v>
      </c>
      <c r="P111" s="14">
        <v>6</v>
      </c>
      <c r="Q111" s="21"/>
      <c r="R111" s="21"/>
      <c r="S111" s="15" t="str">
        <f>VLOOKUP(Table191620[[#This Row],[Hole]],'Player Info'!A:B,2,0)</f>
        <v>Matt</v>
      </c>
      <c r="T111" s="4"/>
      <c r="U111" s="4"/>
      <c r="V111" s="4"/>
      <c r="W111" s="4"/>
      <c r="X111" s="4"/>
      <c r="Y111" s="4"/>
      <c r="Z111" s="4"/>
      <c r="AB111" s="4"/>
      <c r="AC111" s="4"/>
      <c r="AF111" s="4"/>
      <c r="AG111" s="4"/>
    </row>
    <row r="112" spans="1:33" ht="12.75" hidden="1" outlineLevel="1" x14ac:dyDescent="0.2">
      <c r="A112" s="19" t="s">
        <v>36</v>
      </c>
      <c r="B112" s="14"/>
      <c r="C112" s="74"/>
      <c r="D112" s="77"/>
      <c r="E112" s="74"/>
      <c r="F112" s="74"/>
      <c r="G112" s="74"/>
      <c r="H112" s="74"/>
      <c r="I112" s="74"/>
      <c r="J112" s="14"/>
      <c r="K112" s="15">
        <f>SUM(Table191620[[#This Row],[1]:[9]])</f>
        <v>0</v>
      </c>
      <c r="L112" s="15">
        <f>Table191620[[#This Row],[Out]]</f>
        <v>0</v>
      </c>
      <c r="M112" s="75">
        <f>IF(Table191620[[#This Row],[Gross]]&gt;0,Table191620[[#This Row],[Gross]]-Table191620[[#This Row],[HCP]],0)</f>
        <v>0</v>
      </c>
      <c r="N112" s="75">
        <f>VLOOKUP(Table191620[[#This Row],[Hole]],'Player Info'!A:C,3,0)/2</f>
        <v>3</v>
      </c>
      <c r="O112" s="14" t="s">
        <v>80</v>
      </c>
      <c r="P112" s="14">
        <v>1</v>
      </c>
      <c r="Q112" s="21"/>
      <c r="R112" s="21"/>
      <c r="S112" s="15" t="str">
        <f>VLOOKUP(Table191620[[#This Row],[Hole]],'Player Info'!A:B,2,0)</f>
        <v>Danny</v>
      </c>
      <c r="T112" s="4"/>
      <c r="U112" s="4"/>
      <c r="V112" s="4"/>
      <c r="W112" s="4"/>
      <c r="X112" s="4"/>
      <c r="Y112" s="4"/>
      <c r="Z112" s="4"/>
      <c r="AB112" s="4"/>
      <c r="AC112" s="4"/>
      <c r="AF112" s="4"/>
      <c r="AG112" s="4"/>
    </row>
    <row r="113" spans="1:33" ht="12.75" hidden="1" outlineLevel="1" x14ac:dyDescent="0.2">
      <c r="A113" s="19" t="s">
        <v>54</v>
      </c>
      <c r="B113" s="71"/>
      <c r="C113" s="71"/>
      <c r="D113" s="71"/>
      <c r="E113" s="14"/>
      <c r="F113" s="71"/>
      <c r="G113" s="14"/>
      <c r="H113" s="71"/>
      <c r="I113" s="14"/>
      <c r="J113" s="71"/>
      <c r="K113" s="15">
        <f>SUM(Table191620[[#This Row],[1]:[9]])</f>
        <v>0</v>
      </c>
      <c r="L113" s="15">
        <f>Table191620[[#This Row],[Out]]</f>
        <v>0</v>
      </c>
      <c r="M113" s="75">
        <f>IF(Table191620[[#This Row],[Gross]]&gt;0,Table191620[[#This Row],[Gross]]-Table191620[[#This Row],[HCP]],0)</f>
        <v>0</v>
      </c>
      <c r="N113" s="75">
        <f>VLOOKUP(Table191620[[#This Row],[Hole]],'Player Info'!A:C,3,0)/2</f>
        <v>7.5</v>
      </c>
      <c r="O113" s="14" t="s">
        <v>80</v>
      </c>
      <c r="P113" s="14">
        <v>6</v>
      </c>
      <c r="Q113" s="21"/>
      <c r="R113" s="21"/>
      <c r="S113" s="15" t="str">
        <f>VLOOKUP(Table191620[[#This Row],[Hole]],'Player Info'!A:B,2,0)</f>
        <v>Danny</v>
      </c>
      <c r="T113" s="4"/>
      <c r="U113" s="4"/>
      <c r="V113" s="4"/>
      <c r="W113" s="4"/>
      <c r="X113" s="4"/>
      <c r="Y113" s="4"/>
      <c r="Z113" s="4"/>
      <c r="AB113" s="4"/>
      <c r="AC113" s="4"/>
      <c r="AF113" s="4"/>
      <c r="AG113" s="4"/>
    </row>
    <row r="114" spans="1:33" ht="12.75" hidden="1" outlineLevel="1" x14ac:dyDescent="0.2">
      <c r="A114" s="82"/>
      <c r="B114" s="84"/>
      <c r="C114" s="84"/>
      <c r="D114" s="84"/>
      <c r="E114" s="84"/>
      <c r="F114" s="84"/>
      <c r="G114" s="84"/>
      <c r="H114" s="84"/>
      <c r="I114" s="84"/>
      <c r="J114" s="84"/>
      <c r="K114" s="84"/>
      <c r="L114" s="84"/>
      <c r="M114" s="86"/>
      <c r="N114" s="86"/>
      <c r="O114" s="84"/>
      <c r="P114" s="84"/>
      <c r="Q114" s="84"/>
      <c r="R114" s="84"/>
      <c r="S114" s="84"/>
      <c r="T114" s="4"/>
      <c r="U114" s="4"/>
      <c r="V114" s="4"/>
      <c r="W114" s="4"/>
      <c r="X114" s="4"/>
      <c r="Y114" s="4"/>
      <c r="Z114" s="4"/>
      <c r="AB114" s="4"/>
      <c r="AC114" s="4"/>
      <c r="AF114" s="4"/>
      <c r="AG114" s="4"/>
    </row>
    <row r="115" spans="1:33" ht="12.75" hidden="1" outlineLevel="1" x14ac:dyDescent="0.2">
      <c r="A115" s="1" t="s">
        <v>0</v>
      </c>
      <c r="B115" s="2" t="s">
        <v>95</v>
      </c>
      <c r="T115" s="4"/>
      <c r="U115" s="4"/>
      <c r="V115" s="4"/>
      <c r="W115" s="4"/>
      <c r="X115" s="4"/>
      <c r="Y115" s="4"/>
      <c r="Z115" s="4"/>
      <c r="AB115" s="4"/>
      <c r="AC115" s="4"/>
      <c r="AF115" s="4"/>
      <c r="AG115" s="4"/>
    </row>
    <row r="116" spans="1:33" ht="12.75" hidden="1" outlineLevel="1" x14ac:dyDescent="0.2">
      <c r="A116" s="8" t="s">
        <v>96</v>
      </c>
      <c r="B116" s="9">
        <v>502</v>
      </c>
      <c r="C116" s="9">
        <v>203</v>
      </c>
      <c r="D116" s="9">
        <v>410</v>
      </c>
      <c r="E116" s="9">
        <v>417</v>
      </c>
      <c r="F116" s="9">
        <v>573</v>
      </c>
      <c r="G116" s="9">
        <v>193</v>
      </c>
      <c r="H116" s="9">
        <v>420</v>
      </c>
      <c r="I116" s="9">
        <v>160</v>
      </c>
      <c r="J116" s="9">
        <v>529</v>
      </c>
      <c r="K116" s="9">
        <f>SUM(B116:J116)</f>
        <v>3407</v>
      </c>
      <c r="L116" s="7"/>
      <c r="M116" s="7"/>
      <c r="N116" s="7"/>
      <c r="O116" s="7"/>
      <c r="P116" s="7"/>
      <c r="Q116" s="7"/>
      <c r="R116" s="7"/>
      <c r="S116" s="7"/>
      <c r="T116" s="4"/>
      <c r="U116" s="4"/>
      <c r="V116" s="4"/>
      <c r="W116" s="4"/>
      <c r="X116" s="4"/>
      <c r="Y116" s="4"/>
      <c r="Z116" s="4"/>
      <c r="AB116" s="4"/>
      <c r="AC116" s="4"/>
      <c r="AF116" s="4"/>
      <c r="AG116" s="4"/>
    </row>
    <row r="117" spans="1:33" ht="12.75" hidden="1" outlineLevel="1" x14ac:dyDescent="0.2">
      <c r="A117" s="5" t="s">
        <v>3</v>
      </c>
      <c r="B117" s="6">
        <v>16</v>
      </c>
      <c r="C117" s="6">
        <v>2</v>
      </c>
      <c r="D117" s="6">
        <v>12</v>
      </c>
      <c r="E117" s="6">
        <v>4</v>
      </c>
      <c r="F117" s="6">
        <v>6</v>
      </c>
      <c r="G117" s="6">
        <v>8</v>
      </c>
      <c r="H117" s="6">
        <v>14</v>
      </c>
      <c r="I117" s="6">
        <v>18</v>
      </c>
      <c r="J117" s="6">
        <v>10</v>
      </c>
      <c r="K117" s="7"/>
      <c r="L117" s="7"/>
      <c r="M117" s="7"/>
      <c r="N117" s="7"/>
      <c r="O117" s="7"/>
      <c r="P117" s="7"/>
      <c r="Q117" s="7"/>
      <c r="R117" s="7"/>
      <c r="S117" s="7"/>
      <c r="T117" s="4"/>
      <c r="U117" s="4"/>
      <c r="V117" s="4"/>
      <c r="W117" s="4"/>
      <c r="X117" s="4"/>
      <c r="Y117" s="4"/>
      <c r="Z117" s="4"/>
      <c r="AB117" s="4"/>
      <c r="AC117" s="4"/>
      <c r="AF117" s="4"/>
      <c r="AG117" s="4"/>
    </row>
    <row r="118" spans="1:33" ht="12.75" hidden="1" outlineLevel="1" x14ac:dyDescent="0.2">
      <c r="A118" s="10" t="s">
        <v>8</v>
      </c>
      <c r="B118" s="11">
        <v>5</v>
      </c>
      <c r="C118" s="11">
        <v>3</v>
      </c>
      <c r="D118" s="11">
        <v>4</v>
      </c>
      <c r="E118" s="11">
        <v>4</v>
      </c>
      <c r="F118" s="11">
        <v>5</v>
      </c>
      <c r="G118" s="11">
        <v>3</v>
      </c>
      <c r="H118" s="11">
        <v>4</v>
      </c>
      <c r="I118" s="11">
        <v>3</v>
      </c>
      <c r="J118" s="11">
        <v>5</v>
      </c>
      <c r="K118" s="11"/>
      <c r="L118" s="11"/>
      <c r="M118" s="7"/>
      <c r="N118" s="7"/>
      <c r="O118" s="7"/>
      <c r="P118" s="7"/>
      <c r="Q118" s="7"/>
      <c r="R118" s="7"/>
      <c r="S118" s="7"/>
      <c r="T118" s="4"/>
      <c r="U118" s="4"/>
      <c r="V118" s="4"/>
      <c r="W118" s="4"/>
      <c r="X118" s="4"/>
      <c r="Y118" s="4"/>
      <c r="Z118" s="4"/>
      <c r="AB118" s="4"/>
      <c r="AC118" s="4"/>
      <c r="AF118" s="4"/>
      <c r="AG118" s="4"/>
    </row>
    <row r="119" spans="1:33" ht="12.75" hidden="1" outlineLevel="1" x14ac:dyDescent="0.2">
      <c r="A119" s="12" t="s">
        <v>9</v>
      </c>
      <c r="B119" s="13" t="s">
        <v>25</v>
      </c>
      <c r="C119" s="13" t="s">
        <v>26</v>
      </c>
      <c r="D119" s="13" t="s">
        <v>27</v>
      </c>
      <c r="E119" s="13" t="s">
        <v>28</v>
      </c>
      <c r="F119" s="13" t="s">
        <v>29</v>
      </c>
      <c r="G119" s="13" t="s">
        <v>30</v>
      </c>
      <c r="H119" s="13" t="s">
        <v>31</v>
      </c>
      <c r="I119" s="13" t="s">
        <v>32</v>
      </c>
      <c r="J119" s="13" t="s">
        <v>33</v>
      </c>
      <c r="K119" s="13" t="s">
        <v>4</v>
      </c>
      <c r="L119" s="13" t="s">
        <v>34</v>
      </c>
      <c r="M119" s="13" t="s">
        <v>7</v>
      </c>
      <c r="N119" s="13" t="s">
        <v>6</v>
      </c>
      <c r="O119" s="13" t="s">
        <v>35</v>
      </c>
      <c r="P119" s="13" t="s">
        <v>81</v>
      </c>
      <c r="Q119" s="13" t="s">
        <v>85</v>
      </c>
      <c r="R119" s="13" t="s">
        <v>38</v>
      </c>
      <c r="S119" s="13" t="s">
        <v>11</v>
      </c>
      <c r="T119" s="4"/>
      <c r="U119" s="4"/>
      <c r="V119" s="4"/>
      <c r="W119" s="4"/>
      <c r="X119" s="4"/>
      <c r="Y119" s="4"/>
      <c r="Z119" s="4"/>
      <c r="AB119" s="4"/>
      <c r="AC119" s="4"/>
      <c r="AF119" s="4"/>
      <c r="AG119" s="4"/>
    </row>
    <row r="120" spans="1:33" ht="12.75" hidden="1" outlineLevel="1" x14ac:dyDescent="0.2">
      <c r="A120" s="19" t="s">
        <v>48</v>
      </c>
      <c r="B120" s="14"/>
      <c r="C120" s="71"/>
      <c r="D120" s="14"/>
      <c r="E120" s="71"/>
      <c r="F120" s="71"/>
      <c r="G120" s="71"/>
      <c r="H120" s="14"/>
      <c r="I120" s="14"/>
      <c r="J120" s="71"/>
      <c r="K120" s="15">
        <f>SUM(Table19151721[[#This Row],[10]:[18]])</f>
        <v>0</v>
      </c>
      <c r="L120" s="15">
        <f>Table19151721[[#This Row],[In]]</f>
        <v>0</v>
      </c>
      <c r="M120" s="75">
        <f>IF(Table19151721[[#This Row],[Gross]]&gt;0,Table19151721[[#This Row],[Gross]]-Table19151721[[#This Row],[HCP]],0)</f>
        <v>0</v>
      </c>
      <c r="N120" s="75">
        <f>VLOOKUP(Table19151721[[#This Row],[Hole]],'Player Info'!A:C,3,0)/2</f>
        <v>8</v>
      </c>
      <c r="O120" s="14" t="s">
        <v>78</v>
      </c>
      <c r="P120" s="14">
        <v>5</v>
      </c>
      <c r="Q120" s="21"/>
      <c r="R120" s="21"/>
      <c r="S120" s="15" t="str">
        <f>VLOOKUP(Table19151721[[#This Row],[Hole]],'Player Info'!A:B,2,0)</f>
        <v>Matt</v>
      </c>
      <c r="T120" s="4"/>
      <c r="U120" s="4"/>
      <c r="V120" s="4"/>
      <c r="W120" s="4"/>
      <c r="X120" s="4"/>
      <c r="Y120" s="4"/>
      <c r="Z120" s="4"/>
      <c r="AB120" s="4"/>
      <c r="AC120" s="4"/>
      <c r="AF120" s="4"/>
      <c r="AG120" s="4"/>
    </row>
    <row r="121" spans="1:33" ht="12.75" hidden="1" outlineLevel="1" x14ac:dyDescent="0.2">
      <c r="A121" s="19" t="s">
        <v>36</v>
      </c>
      <c r="B121" s="14"/>
      <c r="C121" s="74"/>
      <c r="D121" s="74"/>
      <c r="E121" s="74"/>
      <c r="F121" s="74"/>
      <c r="G121" s="74"/>
      <c r="H121" s="74"/>
      <c r="I121" s="74"/>
      <c r="J121" s="14"/>
      <c r="K121" s="15">
        <f>SUM(Table19151721[[#This Row],[10]:[18]])</f>
        <v>0</v>
      </c>
      <c r="L121" s="15">
        <f>Table19151721[[#This Row],[In]]</f>
        <v>0</v>
      </c>
      <c r="M121" s="75">
        <f>IF(Table19151721[[#This Row],[Gross]]&gt;0,Table19151721[[#This Row],[Gross]]-Table19151721[[#This Row],[HCP]],0)</f>
        <v>0</v>
      </c>
      <c r="N121" s="75">
        <f>VLOOKUP(Table19151721[[#This Row],[Hole]],'Player Info'!A:C,3,0)/2</f>
        <v>3</v>
      </c>
      <c r="O121" s="14" t="s">
        <v>79</v>
      </c>
      <c r="P121" s="14">
        <v>0</v>
      </c>
      <c r="Q121" s="21"/>
      <c r="R121" s="21"/>
      <c r="S121" s="15" t="str">
        <f>VLOOKUP(Table19151721[[#This Row],[Hole]],'Player Info'!A:B,2,0)</f>
        <v>Danny</v>
      </c>
      <c r="T121" s="4"/>
      <c r="U121" s="4"/>
      <c r="V121" s="4"/>
      <c r="W121" s="4"/>
      <c r="X121" s="4"/>
      <c r="Y121" s="4"/>
      <c r="Z121" s="4"/>
      <c r="AB121" s="4"/>
      <c r="AC121" s="4"/>
      <c r="AF121" s="4"/>
      <c r="AG121" s="4"/>
    </row>
    <row r="122" spans="1:33" ht="12.75" hidden="1" outlineLevel="1" x14ac:dyDescent="0.2">
      <c r="A122" s="19" t="s">
        <v>54</v>
      </c>
      <c r="B122" s="14"/>
      <c r="C122" s="71"/>
      <c r="D122" s="14"/>
      <c r="E122" s="71"/>
      <c r="F122" s="71"/>
      <c r="G122" s="71"/>
      <c r="H122" s="14"/>
      <c r="I122" s="14"/>
      <c r="J122" s="71"/>
      <c r="K122" s="15">
        <f>SUM(Table19151721[[#This Row],[10]:[18]])</f>
        <v>0</v>
      </c>
      <c r="L122" s="15">
        <f>Table19151721[[#This Row],[In]]</f>
        <v>0</v>
      </c>
      <c r="M122" s="75">
        <f>IF(Table19151721[[#This Row],[Gross]]&gt;0,Table19151721[[#This Row],[Gross]]-Table19151721[[#This Row],[HCP]],0)</f>
        <v>0</v>
      </c>
      <c r="N122" s="75">
        <f>VLOOKUP(Table19151721[[#This Row],[Hole]],'Player Info'!A:C,3,0)/2</f>
        <v>7.5</v>
      </c>
      <c r="O122" s="14" t="s">
        <v>79</v>
      </c>
      <c r="P122" s="14">
        <v>5</v>
      </c>
      <c r="Q122" s="21"/>
      <c r="R122" s="21"/>
      <c r="S122" s="15" t="str">
        <f>VLOOKUP(Table19151721[[#This Row],[Hole]],'Player Info'!A:B,2,0)</f>
        <v>Danny</v>
      </c>
      <c r="T122" s="4"/>
      <c r="U122" s="4"/>
      <c r="V122" s="4"/>
      <c r="W122" s="4"/>
      <c r="X122" s="4"/>
      <c r="Y122" s="4"/>
      <c r="Z122" s="4"/>
      <c r="AB122" s="4"/>
      <c r="AC122" s="4"/>
      <c r="AF122" s="4"/>
      <c r="AG122" s="4"/>
    </row>
    <row r="123" spans="1:33" ht="12.75" hidden="1" outlineLevel="1" x14ac:dyDescent="0.2">
      <c r="A123" s="19" t="s">
        <v>14</v>
      </c>
      <c r="B123" s="14"/>
      <c r="C123" s="74"/>
      <c r="D123" s="74"/>
      <c r="E123" s="74"/>
      <c r="F123" s="74"/>
      <c r="G123" s="74"/>
      <c r="H123" s="74"/>
      <c r="I123" s="74"/>
      <c r="J123" s="14"/>
      <c r="K123" s="15">
        <f>SUM(Table19151721[[#This Row],[10]:[18]])</f>
        <v>0</v>
      </c>
      <c r="L123" s="15">
        <f>Table19151721[[#This Row],[In]]</f>
        <v>0</v>
      </c>
      <c r="M123" s="75">
        <f>IF(Table19151721[[#This Row],[Gross]]&gt;0,Table19151721[[#This Row],[Gross]]-Table19151721[[#This Row],[HCP]],0)</f>
        <v>0</v>
      </c>
      <c r="N123" s="75">
        <f>VLOOKUP(Table19151721[[#This Row],[Hole]],'Player Info'!A:C,3,0)/2</f>
        <v>3</v>
      </c>
      <c r="O123" s="14" t="s">
        <v>79</v>
      </c>
      <c r="P123" s="14">
        <v>0</v>
      </c>
      <c r="Q123" s="21"/>
      <c r="R123" s="21"/>
      <c r="S123" s="15" t="str">
        <f>VLOOKUP(Table19151721[[#This Row],[Hole]],'Player Info'!A:B,2,0)</f>
        <v>Eric</v>
      </c>
      <c r="T123" s="4"/>
      <c r="U123" s="4"/>
      <c r="V123" s="4"/>
      <c r="W123" s="4"/>
      <c r="X123" s="4"/>
      <c r="Y123" s="4"/>
      <c r="Z123" s="4"/>
      <c r="AB123" s="4"/>
      <c r="AC123" s="4"/>
      <c r="AF123" s="4"/>
      <c r="AG123" s="4"/>
    </row>
    <row r="124" spans="1:33" ht="12.75" hidden="1" outlineLevel="1" x14ac:dyDescent="0.2">
      <c r="A124" s="19" t="s">
        <v>15</v>
      </c>
      <c r="B124" s="14"/>
      <c r="C124" s="71"/>
      <c r="D124" s="14"/>
      <c r="E124" s="71"/>
      <c r="F124" s="71"/>
      <c r="G124" s="71"/>
      <c r="H124" s="14"/>
      <c r="I124" s="14"/>
      <c r="J124" s="71"/>
      <c r="K124" s="15">
        <f>SUM(Table19151721[[#This Row],[10]:[18]])</f>
        <v>0</v>
      </c>
      <c r="L124" s="15">
        <f>Table19151721[[#This Row],[In]]</f>
        <v>0</v>
      </c>
      <c r="M124" s="75">
        <f>IF(Table19151721[[#This Row],[Gross]]&gt;0,Table19151721[[#This Row],[Gross]]-Table19151721[[#This Row],[HCP]],0)</f>
        <v>0</v>
      </c>
      <c r="N124" s="75">
        <f>VLOOKUP(Table19151721[[#This Row],[Hole]],'Player Info'!A:C,3,0)/2</f>
        <v>7.5</v>
      </c>
      <c r="O124" s="14" t="s">
        <v>79</v>
      </c>
      <c r="P124" s="14">
        <v>5</v>
      </c>
      <c r="Q124" s="21"/>
      <c r="R124" s="21"/>
      <c r="S124" s="15" t="str">
        <f>VLOOKUP(Table19151721[[#This Row],[Hole]],'Player Info'!A:B,2,0)</f>
        <v>Eric</v>
      </c>
      <c r="T124" s="4"/>
      <c r="U124" s="4"/>
      <c r="V124" s="4"/>
      <c r="W124" s="4"/>
      <c r="X124" s="4"/>
      <c r="Y124" s="4"/>
      <c r="Z124" s="4"/>
      <c r="AB124" s="4"/>
      <c r="AC124" s="4"/>
      <c r="AF124" s="4"/>
      <c r="AG124" s="4"/>
    </row>
    <row r="125" spans="1:33" ht="12.75" hidden="1" outlineLevel="1" x14ac:dyDescent="0.2">
      <c r="A125" s="19" t="s">
        <v>50</v>
      </c>
      <c r="B125" s="14"/>
      <c r="C125" s="71"/>
      <c r="D125" s="14"/>
      <c r="E125" s="71"/>
      <c r="F125" s="14"/>
      <c r="G125" s="14"/>
      <c r="H125" s="14"/>
      <c r="I125" s="14"/>
      <c r="J125" s="14"/>
      <c r="K125" s="15">
        <f>SUM(Table19151721[[#This Row],[10]:[18]])</f>
        <v>0</v>
      </c>
      <c r="L125" s="15">
        <f>Table19151721[[#This Row],[In]]</f>
        <v>0</v>
      </c>
      <c r="M125" s="75">
        <f>IF(Table19151721[[#This Row],[Gross]]&gt;0,Table19151721[[#This Row],[Gross]]-Table19151721[[#This Row],[HCP]],0)</f>
        <v>0</v>
      </c>
      <c r="N125" s="75">
        <f>VLOOKUP(Table19151721[[#This Row],[Hole]],'Player Info'!A:C,3,0)/2</f>
        <v>5</v>
      </c>
      <c r="O125" s="14" t="s">
        <v>78</v>
      </c>
      <c r="P125" s="14">
        <v>2</v>
      </c>
      <c r="Q125" s="21"/>
      <c r="R125" s="21"/>
      <c r="S125" s="15" t="str">
        <f>VLOOKUP(Table19151721[[#This Row],[Hole]],'Player Info'!A:B,2,0)</f>
        <v>Eric</v>
      </c>
      <c r="T125" s="4"/>
      <c r="U125" s="4"/>
      <c r="V125" s="4"/>
      <c r="W125" s="4"/>
      <c r="X125" s="4"/>
      <c r="Y125" s="4"/>
      <c r="Z125" s="4"/>
      <c r="AB125" s="4"/>
      <c r="AC125" s="4"/>
      <c r="AF125" s="4"/>
      <c r="AG125" s="4"/>
    </row>
    <row r="126" spans="1:33" ht="12.75" hidden="1" outlineLevel="1" x14ac:dyDescent="0.2">
      <c r="A126" s="19" t="s">
        <v>51</v>
      </c>
      <c r="B126" s="14"/>
      <c r="C126" s="71"/>
      <c r="D126" s="14"/>
      <c r="E126" s="71"/>
      <c r="F126" s="71"/>
      <c r="G126" s="71"/>
      <c r="H126" s="14"/>
      <c r="I126" s="14"/>
      <c r="J126" s="14"/>
      <c r="K126" s="15">
        <f>SUM(Table19151721[[#This Row],[10]:[18]])</f>
        <v>0</v>
      </c>
      <c r="L126" s="15">
        <f>Table19151721[[#This Row],[In]]</f>
        <v>0</v>
      </c>
      <c r="M126" s="75">
        <f>IF(Table19151721[[#This Row],[Gross]]&gt;0,Table19151721[[#This Row],[Gross]]-Table19151721[[#This Row],[HCP]],0)</f>
        <v>0</v>
      </c>
      <c r="N126" s="75">
        <f>VLOOKUP(Table19151721[[#This Row],[Hole]],'Player Info'!A:C,3,0)/2</f>
        <v>7</v>
      </c>
      <c r="O126" s="14" t="s">
        <v>78</v>
      </c>
      <c r="P126" s="14">
        <v>4</v>
      </c>
      <c r="Q126" s="21"/>
      <c r="R126" s="21"/>
      <c r="S126" s="15" t="str">
        <f>VLOOKUP(Table19151721[[#This Row],[Hole]],'Player Info'!A:B,2,0)</f>
        <v>Eric</v>
      </c>
      <c r="T126" s="4"/>
      <c r="U126" s="4"/>
      <c r="V126" s="4"/>
      <c r="W126" s="4"/>
      <c r="X126" s="4"/>
      <c r="Y126" s="4"/>
      <c r="Z126" s="4"/>
      <c r="AB126" s="4"/>
      <c r="AC126" s="4"/>
      <c r="AF126" s="4"/>
      <c r="AG126" s="4"/>
    </row>
    <row r="127" spans="1:33" ht="12.75" hidden="1" outlineLevel="1" x14ac:dyDescent="0.2">
      <c r="A127" s="19" t="s">
        <v>45</v>
      </c>
      <c r="B127" s="16"/>
      <c r="C127" s="124"/>
      <c r="D127" s="124"/>
      <c r="E127" s="124"/>
      <c r="F127" s="124"/>
      <c r="G127" s="124"/>
      <c r="H127" s="124"/>
      <c r="I127" s="124"/>
      <c r="J127" s="124"/>
      <c r="K127" s="17">
        <f>SUM(Table19151721[[#This Row],[10]:[18]])</f>
        <v>0</v>
      </c>
      <c r="L127" s="17">
        <f>Table19151721[[#This Row],[In]]</f>
        <v>0</v>
      </c>
      <c r="M127" s="75">
        <f>IF(Table19151721[[#This Row],[Gross]]&gt;0,Table19151721[[#This Row],[Gross]]-Table19151721[[#This Row],[HCP]],0)</f>
        <v>0</v>
      </c>
      <c r="N127" s="75">
        <f>VLOOKUP(Table19151721[[#This Row],[Hole]],'Player Info'!A:C,3,0)/2</f>
        <v>3</v>
      </c>
      <c r="O127" s="14" t="s">
        <v>78</v>
      </c>
      <c r="P127" s="16">
        <v>0</v>
      </c>
      <c r="Q127" s="21"/>
      <c r="R127" s="21"/>
      <c r="S127" s="15" t="str">
        <f>VLOOKUP(Table19151721[[#This Row],[Hole]],'Player Info'!A:B,2,0)</f>
        <v>Matt</v>
      </c>
      <c r="T127" s="4"/>
      <c r="U127" s="4"/>
      <c r="V127" s="4"/>
      <c r="W127" s="4"/>
      <c r="X127" s="4"/>
      <c r="Y127" s="4"/>
      <c r="Z127" s="4"/>
      <c r="AB127" s="4"/>
      <c r="AC127" s="4"/>
      <c r="AF127" s="4"/>
      <c r="AG127" s="4"/>
    </row>
    <row r="128" spans="1:33" ht="12.75" hidden="1" outlineLevel="1" x14ac:dyDescent="0.2">
      <c r="A128" s="19" t="s">
        <v>37</v>
      </c>
      <c r="B128" s="14"/>
      <c r="C128" s="77"/>
      <c r="D128" s="74"/>
      <c r="E128" s="77"/>
      <c r="F128" s="77"/>
      <c r="G128" s="74"/>
      <c r="H128" s="74"/>
      <c r="I128" s="74"/>
      <c r="J128" s="74"/>
      <c r="K128" s="15">
        <f>SUM(Table19151721[[#This Row],[10]:[18]])</f>
        <v>0</v>
      </c>
      <c r="L128" s="15">
        <f>Table19151721[[#This Row],[In]]</f>
        <v>0</v>
      </c>
      <c r="M128" s="75">
        <f>IF(Table19151721[[#This Row],[Gross]]&gt;0,Table19151721[[#This Row],[Gross]]-Table19151721[[#This Row],[HCP]],0)</f>
        <v>0</v>
      </c>
      <c r="N128" s="75">
        <f>VLOOKUP(Table19151721[[#This Row],[Hole]],'Player Info'!A:C,3,0)/2</f>
        <v>4.5</v>
      </c>
      <c r="O128" s="14" t="s">
        <v>80</v>
      </c>
      <c r="P128" s="14">
        <v>3</v>
      </c>
      <c r="Q128" s="21"/>
      <c r="R128" s="21"/>
      <c r="S128" s="15" t="str">
        <f>VLOOKUP(Table19151721[[#This Row],[Hole]],'Player Info'!A:B,2,0)</f>
        <v>Danny</v>
      </c>
      <c r="T128" s="4"/>
      <c r="U128" s="4"/>
      <c r="V128" s="4"/>
      <c r="W128" s="4"/>
      <c r="X128" s="4"/>
      <c r="Y128" s="4"/>
      <c r="Z128" s="4"/>
      <c r="AB128" s="4"/>
      <c r="AC128" s="4"/>
      <c r="AF128" s="4"/>
      <c r="AG128" s="4"/>
    </row>
    <row r="129" spans="1:33" ht="12.75" hidden="1" outlineLevel="1" x14ac:dyDescent="0.2">
      <c r="A129" s="19" t="s">
        <v>47</v>
      </c>
      <c r="B129" s="14"/>
      <c r="C129" s="77"/>
      <c r="D129" s="74"/>
      <c r="E129" s="77"/>
      <c r="F129" s="77"/>
      <c r="G129" s="74"/>
      <c r="H129" s="74"/>
      <c r="I129" s="74"/>
      <c r="J129" s="14"/>
      <c r="K129" s="15">
        <f>SUM(Table19151721[[#This Row],[10]:[18]])</f>
        <v>0</v>
      </c>
      <c r="L129" s="15">
        <f>Table19151721[[#This Row],[In]]</f>
        <v>0</v>
      </c>
      <c r="M129" s="75">
        <f>IF(Table19151721[[#This Row],[Gross]]&gt;0,Table19151721[[#This Row],[Gross]]-Table19151721[[#This Row],[HCP]],0)</f>
        <v>0</v>
      </c>
      <c r="N129" s="75">
        <f>VLOOKUP(Table19151721[[#This Row],[Hole]],'Player Info'!A:C,3,0)/2</f>
        <v>5</v>
      </c>
      <c r="O129" s="14" t="s">
        <v>143</v>
      </c>
      <c r="P129" s="14">
        <v>3</v>
      </c>
      <c r="Q129" s="21"/>
      <c r="R129" s="21"/>
      <c r="S129" s="15" t="str">
        <f>VLOOKUP(Table19151721[[#This Row],[Hole]],'Player Info'!A:B,2,0)</f>
        <v>Danny</v>
      </c>
      <c r="T129" s="4"/>
      <c r="U129" s="4"/>
      <c r="V129" s="4"/>
      <c r="W129" s="4"/>
      <c r="X129" s="4"/>
      <c r="Y129" s="4"/>
      <c r="Z129" s="4"/>
      <c r="AB129" s="4"/>
      <c r="AC129" s="4"/>
      <c r="AF129" s="4"/>
      <c r="AG129" s="4"/>
    </row>
    <row r="130" spans="1:33" ht="12.75" hidden="1" outlineLevel="1" x14ac:dyDescent="0.2">
      <c r="A130" s="19" t="s">
        <v>49</v>
      </c>
      <c r="B130" s="14"/>
      <c r="C130" s="14"/>
      <c r="D130" s="14"/>
      <c r="E130" s="14"/>
      <c r="F130" s="14"/>
      <c r="G130" s="14"/>
      <c r="H130" s="14"/>
      <c r="I130" s="14"/>
      <c r="J130" s="14"/>
      <c r="K130" s="15">
        <f>SUM(Table19151721[[#This Row],[10]:[18]])</f>
        <v>0</v>
      </c>
      <c r="L130" s="15">
        <f>Table19151721[[#This Row],[In]]</f>
        <v>0</v>
      </c>
      <c r="M130" s="75">
        <f>IF(Table19151721[[#This Row],[Gross]]&gt;0,Table19151721[[#This Row],[Gross]]-Table19151721[[#This Row],[HCP]],0)</f>
        <v>0</v>
      </c>
      <c r="N130" s="75">
        <f>VLOOKUP(Table19151721[[#This Row],[Hole]],'Player Info'!A:C,3,0)/2</f>
        <v>1.5</v>
      </c>
      <c r="O130" s="14" t="s">
        <v>80</v>
      </c>
      <c r="P130" s="14">
        <v>0</v>
      </c>
      <c r="Q130" s="21"/>
      <c r="R130" s="21"/>
      <c r="S130" s="15" t="str">
        <f>VLOOKUP(Table19151721[[#This Row],[Hole]],'Player Info'!A:B,2,0)</f>
        <v>Matt</v>
      </c>
      <c r="T130" s="4"/>
      <c r="U130" s="4"/>
      <c r="V130" s="4"/>
      <c r="W130" s="4"/>
      <c r="X130" s="4"/>
      <c r="Y130" s="4"/>
      <c r="Z130" s="4"/>
      <c r="AB130" s="4"/>
      <c r="AC130" s="4"/>
      <c r="AF130" s="4"/>
      <c r="AG130" s="4"/>
    </row>
    <row r="131" spans="1:33" ht="12.75" hidden="1" outlineLevel="1" x14ac:dyDescent="0.2">
      <c r="A131" s="19" t="s">
        <v>52</v>
      </c>
      <c r="B131" s="14"/>
      <c r="C131" s="71"/>
      <c r="D131" s="71"/>
      <c r="E131" s="71"/>
      <c r="F131" s="71"/>
      <c r="G131" s="71"/>
      <c r="H131" s="14"/>
      <c r="I131" s="14"/>
      <c r="J131" s="71"/>
      <c r="K131" s="15">
        <f>SUM(Table19151721[[#This Row],[10]:[18]])</f>
        <v>0</v>
      </c>
      <c r="L131" s="15">
        <f>Table19151721[[#This Row],[In]]</f>
        <v>0</v>
      </c>
      <c r="M131" s="75">
        <f>IF(Table19151721[[#This Row],[Gross]]&gt;0,Table19151721[[#This Row],[Gross]]-Table19151721[[#This Row],[HCP]],0)</f>
        <v>0</v>
      </c>
      <c r="N131" s="75">
        <f>VLOOKUP(Table19151721[[#This Row],[Hole]],'Player Info'!A:C,3,0)/2</f>
        <v>8</v>
      </c>
      <c r="O131" s="14" t="s">
        <v>80</v>
      </c>
      <c r="P131" s="14">
        <v>6</v>
      </c>
      <c r="Q131" s="21"/>
      <c r="R131" s="21"/>
      <c r="S131" s="15" t="str">
        <f>VLOOKUP(Table19151721[[#This Row],[Hole]],'Player Info'!A:B,2,0)</f>
        <v>Matt</v>
      </c>
      <c r="T131" s="4"/>
      <c r="U131" s="4"/>
      <c r="V131" s="4"/>
      <c r="W131" s="4"/>
      <c r="X131" s="4"/>
      <c r="Y131" s="4"/>
      <c r="Z131" s="4"/>
      <c r="AB131" s="4"/>
      <c r="AC131" s="4"/>
      <c r="AF131" s="4"/>
      <c r="AG131" s="4"/>
    </row>
    <row r="132" spans="1:33" collapsed="1" x14ac:dyDescent="0.25"/>
    <row r="133" spans="1:33" x14ac:dyDescent="0.25">
      <c r="A133" s="78" t="s">
        <v>88</v>
      </c>
      <c r="B133" s="79"/>
      <c r="C133" s="79"/>
      <c r="D133" s="79"/>
      <c r="E133" s="79"/>
      <c r="F133" s="79"/>
      <c r="G133" s="79"/>
      <c r="H133" s="79"/>
      <c r="I133" s="79"/>
      <c r="J133" s="79"/>
      <c r="K133" s="79"/>
      <c r="L133" s="79"/>
      <c r="M133" s="79"/>
      <c r="N133" s="79"/>
      <c r="O133" s="79"/>
      <c r="P133" s="79"/>
      <c r="Q133" s="79"/>
      <c r="R133" s="79"/>
      <c r="S133" s="79"/>
      <c r="T133" s="79"/>
      <c r="U133" s="79"/>
      <c r="V133" s="79"/>
      <c r="W133" s="79"/>
      <c r="X133" s="79"/>
      <c r="Y133" s="80"/>
      <c r="Z133" s="79"/>
      <c r="AA133" s="78"/>
      <c r="AB133" s="81"/>
      <c r="AC133" s="81"/>
    </row>
    <row r="134" spans="1:33" ht="12.75" hidden="1" outlineLevel="1" x14ac:dyDescent="0.2">
      <c r="A134" s="1" t="s">
        <v>0</v>
      </c>
      <c r="B134" s="2" t="s">
        <v>41</v>
      </c>
      <c r="Y134" s="3"/>
      <c r="AA134" s="3"/>
      <c r="AB134" s="3"/>
      <c r="AC134" s="3"/>
      <c r="AF134" s="4"/>
      <c r="AG134" s="4"/>
    </row>
    <row r="135" spans="1:33" ht="12.75" hidden="1" outlineLevel="1" x14ac:dyDescent="0.2">
      <c r="A135" s="5" t="s">
        <v>2</v>
      </c>
      <c r="B135" s="6">
        <v>407</v>
      </c>
      <c r="C135" s="6">
        <v>169</v>
      </c>
      <c r="D135" s="6">
        <v>475</v>
      </c>
      <c r="E135" s="6">
        <v>418</v>
      </c>
      <c r="F135" s="6">
        <v>311</v>
      </c>
      <c r="G135" s="6">
        <v>187</v>
      </c>
      <c r="H135" s="6">
        <v>365</v>
      </c>
      <c r="I135" s="6">
        <v>490</v>
      </c>
      <c r="J135" s="6">
        <v>361</v>
      </c>
      <c r="K135" s="6">
        <v>344</v>
      </c>
      <c r="L135" s="6">
        <v>165</v>
      </c>
      <c r="M135" s="6">
        <v>351</v>
      </c>
      <c r="N135" s="6">
        <v>594</v>
      </c>
      <c r="O135" s="6">
        <v>171</v>
      </c>
      <c r="P135" s="6">
        <v>361</v>
      </c>
      <c r="Q135" s="6">
        <v>255</v>
      </c>
      <c r="R135" s="6">
        <v>593</v>
      </c>
      <c r="S135" s="6">
        <v>410</v>
      </c>
      <c r="T135" s="6">
        <f>SUM(B135:J135)</f>
        <v>3183</v>
      </c>
      <c r="U135" s="6">
        <f>SUM(K135:S135)</f>
        <v>3244</v>
      </c>
      <c r="V135" s="6">
        <f>SUM(T135:U135)</f>
        <v>6427</v>
      </c>
      <c r="W135" s="7"/>
      <c r="X135" s="7"/>
      <c r="Y135" s="7"/>
      <c r="Z135" s="7"/>
      <c r="AA135" s="7"/>
      <c r="AB135" s="7"/>
      <c r="AC135" s="7"/>
      <c r="AF135" s="4"/>
      <c r="AG135" s="4"/>
    </row>
    <row r="136" spans="1:33" ht="12.75" hidden="1" outlineLevel="1" x14ac:dyDescent="0.2">
      <c r="A136" s="8" t="s">
        <v>3</v>
      </c>
      <c r="B136" s="9">
        <v>9</v>
      </c>
      <c r="C136" s="9">
        <v>17</v>
      </c>
      <c r="D136" s="9">
        <v>5</v>
      </c>
      <c r="E136" s="9">
        <v>1</v>
      </c>
      <c r="F136" s="9">
        <v>7</v>
      </c>
      <c r="G136" s="9">
        <v>15</v>
      </c>
      <c r="H136" s="9">
        <v>11</v>
      </c>
      <c r="I136" s="9">
        <v>3</v>
      </c>
      <c r="J136" s="9">
        <v>13</v>
      </c>
      <c r="K136" s="9">
        <v>14</v>
      </c>
      <c r="L136" s="9">
        <v>18</v>
      </c>
      <c r="M136" s="9">
        <v>12</v>
      </c>
      <c r="N136" s="9">
        <v>4</v>
      </c>
      <c r="O136" s="9">
        <v>10</v>
      </c>
      <c r="P136" s="9">
        <v>8</v>
      </c>
      <c r="Q136" s="9">
        <v>16</v>
      </c>
      <c r="R136" s="9">
        <v>2</v>
      </c>
      <c r="S136" s="9">
        <v>6</v>
      </c>
      <c r="T136" s="7"/>
      <c r="U136" s="7"/>
      <c r="V136" s="7"/>
      <c r="W136" s="7"/>
      <c r="X136" s="7"/>
      <c r="Y136" s="7"/>
      <c r="Z136" s="7"/>
      <c r="AA136" s="7"/>
      <c r="AB136" s="7"/>
      <c r="AC136" s="7"/>
      <c r="AF136" s="4"/>
      <c r="AG136" s="4"/>
    </row>
    <row r="137" spans="1:33" ht="12.75" hidden="1" outlineLevel="1" x14ac:dyDescent="0.2">
      <c r="A137" s="10" t="s">
        <v>8</v>
      </c>
      <c r="B137" s="11">
        <v>4</v>
      </c>
      <c r="C137" s="11">
        <v>3</v>
      </c>
      <c r="D137" s="11">
        <v>5</v>
      </c>
      <c r="E137" s="11">
        <v>4</v>
      </c>
      <c r="F137" s="11">
        <v>4</v>
      </c>
      <c r="G137" s="11">
        <v>3</v>
      </c>
      <c r="H137" s="11">
        <v>4</v>
      </c>
      <c r="I137" s="11">
        <v>5</v>
      </c>
      <c r="J137" s="11">
        <v>4</v>
      </c>
      <c r="K137" s="11">
        <v>4</v>
      </c>
      <c r="L137" s="11">
        <v>3</v>
      </c>
      <c r="M137" s="11">
        <v>4</v>
      </c>
      <c r="N137" s="11">
        <v>5</v>
      </c>
      <c r="O137" s="11">
        <v>3</v>
      </c>
      <c r="P137" s="11">
        <v>4</v>
      </c>
      <c r="Q137" s="11">
        <v>4</v>
      </c>
      <c r="R137" s="11">
        <v>5</v>
      </c>
      <c r="S137" s="11">
        <v>4</v>
      </c>
      <c r="T137" s="11">
        <v>36</v>
      </c>
      <c r="U137" s="11">
        <v>36</v>
      </c>
      <c r="V137" s="11">
        <v>72</v>
      </c>
      <c r="W137" s="7"/>
      <c r="X137" s="7"/>
      <c r="Y137" s="7"/>
      <c r="Z137" s="7"/>
      <c r="AA137" s="7"/>
      <c r="AB137" s="7"/>
      <c r="AC137" s="7"/>
      <c r="AF137" s="4"/>
      <c r="AG137" s="4"/>
    </row>
    <row r="138" spans="1:33" ht="12.75" hidden="1" outlineLevel="1" x14ac:dyDescent="0.2">
      <c r="A138" s="12" t="s">
        <v>9</v>
      </c>
      <c r="B138" s="13" t="s">
        <v>19</v>
      </c>
      <c r="C138" s="13" t="s">
        <v>20</v>
      </c>
      <c r="D138" s="13" t="s">
        <v>18</v>
      </c>
      <c r="E138" s="13" t="s">
        <v>16</v>
      </c>
      <c r="F138" s="13" t="s">
        <v>17</v>
      </c>
      <c r="G138" s="13" t="s">
        <v>21</v>
      </c>
      <c r="H138" s="13" t="s">
        <v>22</v>
      </c>
      <c r="I138" s="13" t="s">
        <v>23</v>
      </c>
      <c r="J138" s="13" t="s">
        <v>24</v>
      </c>
      <c r="K138" s="13" t="s">
        <v>25</v>
      </c>
      <c r="L138" s="13" t="s">
        <v>26</v>
      </c>
      <c r="M138" s="13" t="s">
        <v>27</v>
      </c>
      <c r="N138" s="13" t="s">
        <v>28</v>
      </c>
      <c r="O138" s="13" t="s">
        <v>29</v>
      </c>
      <c r="P138" s="13" t="s">
        <v>30</v>
      </c>
      <c r="Q138" s="13" t="s">
        <v>31</v>
      </c>
      <c r="R138" s="13" t="s">
        <v>32</v>
      </c>
      <c r="S138" s="13" t="s">
        <v>33</v>
      </c>
      <c r="T138" s="13" t="s">
        <v>5</v>
      </c>
      <c r="U138" s="13" t="s">
        <v>4</v>
      </c>
      <c r="V138" s="13" t="s">
        <v>34</v>
      </c>
      <c r="W138" s="13" t="s">
        <v>6</v>
      </c>
      <c r="X138" s="13" t="s">
        <v>7</v>
      </c>
      <c r="Y138" s="13" t="s">
        <v>35</v>
      </c>
      <c r="Z138" s="13" t="s">
        <v>81</v>
      </c>
      <c r="AA138" s="13" t="s">
        <v>43</v>
      </c>
      <c r="AB138" s="13" t="s">
        <v>38</v>
      </c>
      <c r="AC138" s="13" t="s">
        <v>11</v>
      </c>
      <c r="AF138" s="4"/>
      <c r="AG138" s="4"/>
    </row>
    <row r="139" spans="1:33" ht="12.75" hidden="1" outlineLevel="1" x14ac:dyDescent="0.2">
      <c r="A139" s="19" t="s">
        <v>15</v>
      </c>
      <c r="B139" s="14">
        <v>6</v>
      </c>
      <c r="C139" s="14">
        <v>9</v>
      </c>
      <c r="D139" s="14">
        <v>8</v>
      </c>
      <c r="E139" s="14">
        <v>9</v>
      </c>
      <c r="F139" s="14">
        <v>5</v>
      </c>
      <c r="G139" s="14">
        <v>5</v>
      </c>
      <c r="H139" s="14">
        <v>7</v>
      </c>
      <c r="I139" s="14">
        <v>6</v>
      </c>
      <c r="J139" s="14">
        <v>6</v>
      </c>
      <c r="K139" s="14">
        <v>5</v>
      </c>
      <c r="L139" s="14">
        <v>9</v>
      </c>
      <c r="M139" s="14">
        <v>5</v>
      </c>
      <c r="N139" s="14">
        <v>7</v>
      </c>
      <c r="O139" s="14">
        <v>10</v>
      </c>
      <c r="P139" s="14">
        <v>3</v>
      </c>
      <c r="Q139" s="14">
        <v>6</v>
      </c>
      <c r="R139" s="14">
        <v>6</v>
      </c>
      <c r="S139" s="14">
        <v>9</v>
      </c>
      <c r="T139" s="15">
        <f>SUM(Table1412[[#This Row],[1]:[9]])</f>
        <v>61</v>
      </c>
      <c r="U139" s="15">
        <f>SUM(Table1412[[#This Row],[10]:[18]])</f>
        <v>60</v>
      </c>
      <c r="V139" s="15">
        <f>SUM(Table1412[[#This Row],[Out]:[In]])</f>
        <v>121</v>
      </c>
      <c r="W139" s="15">
        <f>VLOOKUP(Table1412[[#This Row],[Hole]],'Player Info'!A:C,3,0)</f>
        <v>15</v>
      </c>
      <c r="X139" s="15">
        <f>IF(Table1412[[#This Row],[Gross]]&gt;0,Table1412[[#This Row],[Gross]]-Table1412[[#This Row],[HCP]],0)</f>
        <v>106</v>
      </c>
      <c r="Y139" s="14" t="s">
        <v>83</v>
      </c>
      <c r="Z139" s="14">
        <v>0</v>
      </c>
      <c r="AA139" s="21"/>
      <c r="AB139" s="21">
        <v>0</v>
      </c>
      <c r="AC139" s="14" t="str">
        <f>VLOOKUP(Table1412[[#This Row],[Hole]],'Player Info'!A:B,2,0)</f>
        <v>Eric</v>
      </c>
      <c r="AF139" s="4"/>
      <c r="AG139" s="4"/>
    </row>
    <row r="140" spans="1:33" ht="12.75" hidden="1" outlineLevel="1" x14ac:dyDescent="0.2">
      <c r="A140" s="19" t="s">
        <v>47</v>
      </c>
      <c r="B140" s="14">
        <v>5</v>
      </c>
      <c r="C140" s="14">
        <v>7</v>
      </c>
      <c r="D140" s="14">
        <v>6</v>
      </c>
      <c r="E140" s="14">
        <v>5</v>
      </c>
      <c r="F140" s="14">
        <v>4</v>
      </c>
      <c r="G140" s="14">
        <v>5</v>
      </c>
      <c r="H140" s="14">
        <v>5</v>
      </c>
      <c r="I140" s="14">
        <v>5</v>
      </c>
      <c r="J140" s="14">
        <v>4</v>
      </c>
      <c r="K140" s="14">
        <v>4</v>
      </c>
      <c r="L140" s="14">
        <v>5</v>
      </c>
      <c r="M140" s="14">
        <v>4</v>
      </c>
      <c r="N140" s="14">
        <v>6</v>
      </c>
      <c r="O140" s="14">
        <v>5</v>
      </c>
      <c r="P140" s="14">
        <v>4</v>
      </c>
      <c r="Q140" s="14">
        <v>4</v>
      </c>
      <c r="R140" s="14">
        <v>5</v>
      </c>
      <c r="S140" s="14">
        <v>7</v>
      </c>
      <c r="T140" s="15">
        <f>SUM(Table1412[[#This Row],[1]:[9]])</f>
        <v>46</v>
      </c>
      <c r="U140" s="15">
        <f>SUM(Table1412[[#This Row],[10]:[18]])</f>
        <v>44</v>
      </c>
      <c r="V140" s="15">
        <f>SUM(Table1412[[#This Row],[Out]:[In]])</f>
        <v>90</v>
      </c>
      <c r="W140" s="15">
        <f>VLOOKUP(Table1412[[#This Row],[Hole]],'Player Info'!A:C,3,0)</f>
        <v>10</v>
      </c>
      <c r="X140" s="15">
        <f>IF(Table1412[[#This Row],[Gross]]&gt;0,Table1412[[#This Row],[Gross]]-Table1412[[#This Row],[HCP]],0)</f>
        <v>80</v>
      </c>
      <c r="Y140" s="14" t="s">
        <v>82</v>
      </c>
      <c r="Z140" s="14">
        <v>0</v>
      </c>
      <c r="AA140" s="21"/>
      <c r="AB140" s="21">
        <v>0</v>
      </c>
      <c r="AC140" s="14" t="str">
        <f>VLOOKUP(Table1412[[#This Row],[Hole]],'Player Info'!A:B,2,0)</f>
        <v>Danny</v>
      </c>
      <c r="AF140" s="4"/>
      <c r="AG140" s="4"/>
    </row>
    <row r="141" spans="1:33" ht="12.75" hidden="1" outlineLevel="1" x14ac:dyDescent="0.2">
      <c r="A141" s="19" t="s">
        <v>52</v>
      </c>
      <c r="B141" s="14">
        <v>4</v>
      </c>
      <c r="C141" s="14">
        <v>6</v>
      </c>
      <c r="D141" s="14">
        <v>5</v>
      </c>
      <c r="E141" s="71">
        <v>6</v>
      </c>
      <c r="F141" s="14">
        <v>5</v>
      </c>
      <c r="G141" s="14">
        <v>5</v>
      </c>
      <c r="H141" s="14">
        <v>8</v>
      </c>
      <c r="I141" s="14">
        <v>5</v>
      </c>
      <c r="J141" s="14">
        <v>7</v>
      </c>
      <c r="K141" s="14">
        <v>4</v>
      </c>
      <c r="L141" s="14">
        <v>7</v>
      </c>
      <c r="M141" s="14">
        <v>4</v>
      </c>
      <c r="N141" s="14">
        <v>4</v>
      </c>
      <c r="O141" s="14">
        <v>7</v>
      </c>
      <c r="P141" s="14">
        <v>2</v>
      </c>
      <c r="Q141" s="14">
        <v>5</v>
      </c>
      <c r="R141" s="14">
        <v>4</v>
      </c>
      <c r="S141" s="14">
        <v>6</v>
      </c>
      <c r="T141" s="15">
        <f>SUM(Table1412[[#This Row],[1]:[9]])</f>
        <v>51</v>
      </c>
      <c r="U141" s="15">
        <f>SUM(Table1412[[#This Row],[10]:[18]])</f>
        <v>43</v>
      </c>
      <c r="V141" s="15">
        <f>SUM(Table1412[[#This Row],[Out]:[In]])</f>
        <v>94</v>
      </c>
      <c r="W141" s="15">
        <f>VLOOKUP(Table1412[[#This Row],[Hole]],'Player Info'!A:C,3,0)</f>
        <v>16</v>
      </c>
      <c r="X141" s="15">
        <f>IF(Table1412[[#This Row],[Gross]]&gt;0,Table1412[[#This Row],[Gross]]-Table1412[[#This Row],[HCP]],0)</f>
        <v>78</v>
      </c>
      <c r="Y141" s="14" t="s">
        <v>83</v>
      </c>
      <c r="Z141" s="14">
        <v>1</v>
      </c>
      <c r="AA141" s="21"/>
      <c r="AB141" s="21">
        <v>1</v>
      </c>
      <c r="AC141" s="14" t="str">
        <f>VLOOKUP(Table1412[[#This Row],[Hole]],'Player Info'!A:B,2,0)</f>
        <v>Matt</v>
      </c>
      <c r="AF141" s="4"/>
      <c r="AG141" s="4"/>
    </row>
    <row r="142" spans="1:33" ht="12.75" hidden="1" outlineLevel="1" x14ac:dyDescent="0.2">
      <c r="A142" s="19" t="s">
        <v>36</v>
      </c>
      <c r="B142" s="14">
        <v>5</v>
      </c>
      <c r="C142" s="14">
        <v>6</v>
      </c>
      <c r="D142" s="14">
        <v>5</v>
      </c>
      <c r="E142" s="14">
        <v>5</v>
      </c>
      <c r="F142" s="14">
        <v>4</v>
      </c>
      <c r="G142" s="14">
        <v>4</v>
      </c>
      <c r="H142" s="14">
        <v>5</v>
      </c>
      <c r="I142" s="14">
        <v>4</v>
      </c>
      <c r="J142" s="14">
        <v>4</v>
      </c>
      <c r="K142" s="14">
        <v>3</v>
      </c>
      <c r="L142" s="14">
        <v>6</v>
      </c>
      <c r="M142" s="14">
        <v>3</v>
      </c>
      <c r="N142" s="14">
        <v>6</v>
      </c>
      <c r="O142" s="14">
        <v>5</v>
      </c>
      <c r="P142" s="14">
        <v>5</v>
      </c>
      <c r="Q142" s="14">
        <v>6</v>
      </c>
      <c r="R142" s="14">
        <v>5</v>
      </c>
      <c r="S142" s="14">
        <v>7</v>
      </c>
      <c r="T142" s="15">
        <f>SUM(Table1412[[#This Row],[1]:[9]])</f>
        <v>42</v>
      </c>
      <c r="U142" s="15">
        <f>SUM(Table1412[[#This Row],[10]:[18]])</f>
        <v>46</v>
      </c>
      <c r="V142" s="15">
        <f>SUM(Table1412[[#This Row],[Out]:[In]])</f>
        <v>88</v>
      </c>
      <c r="W142" s="15">
        <f>VLOOKUP(Table1412[[#This Row],[Hole]],'Player Info'!A:C,3,0)</f>
        <v>6</v>
      </c>
      <c r="X142" s="15">
        <f>IF(Table1412[[#This Row],[Gross]]&gt;0,Table1412[[#This Row],[Gross]]-Table1412[[#This Row],[HCP]],0)</f>
        <v>82</v>
      </c>
      <c r="Y142" s="14" t="s">
        <v>79</v>
      </c>
      <c r="Z142" s="14">
        <v>0</v>
      </c>
      <c r="AA142" s="21"/>
      <c r="AB142" s="21">
        <v>0</v>
      </c>
      <c r="AC142" s="14" t="str">
        <f>VLOOKUP(Table1412[[#This Row],[Hole]],'Player Info'!A:B,2,0)</f>
        <v>Danny</v>
      </c>
      <c r="AF142" s="4"/>
      <c r="AG142" s="4"/>
    </row>
    <row r="143" spans="1:33" ht="12.75" hidden="1" outlineLevel="1" x14ac:dyDescent="0.2">
      <c r="A143" s="19" t="s">
        <v>14</v>
      </c>
      <c r="B143" s="14">
        <v>5</v>
      </c>
      <c r="C143" s="14">
        <v>7</v>
      </c>
      <c r="D143" s="14">
        <v>4</v>
      </c>
      <c r="E143" s="71">
        <v>7</v>
      </c>
      <c r="F143" s="14">
        <v>5</v>
      </c>
      <c r="G143" s="14">
        <v>4</v>
      </c>
      <c r="H143" s="14">
        <v>6</v>
      </c>
      <c r="I143" s="71">
        <v>5</v>
      </c>
      <c r="J143" s="14">
        <v>4</v>
      </c>
      <c r="K143" s="14">
        <v>4</v>
      </c>
      <c r="L143" s="14">
        <v>6</v>
      </c>
      <c r="M143" s="14">
        <v>3</v>
      </c>
      <c r="N143" s="14">
        <v>4</v>
      </c>
      <c r="O143" s="14">
        <v>5</v>
      </c>
      <c r="P143" s="14">
        <v>2</v>
      </c>
      <c r="Q143" s="14">
        <v>4</v>
      </c>
      <c r="R143" s="71">
        <v>5</v>
      </c>
      <c r="S143" s="14">
        <v>10</v>
      </c>
      <c r="T143" s="15">
        <f>SUM(Table1412[[#This Row],[1]:[9]])</f>
        <v>47</v>
      </c>
      <c r="U143" s="15">
        <f>SUM(Table1412[[#This Row],[10]:[18]])</f>
        <v>43</v>
      </c>
      <c r="V143" s="15">
        <f>SUM(Table1412[[#This Row],[Out]:[In]])</f>
        <v>90</v>
      </c>
      <c r="W143" s="15">
        <f>VLOOKUP(Table1412[[#This Row],[Hole]],'Player Info'!A:C,3,0)</f>
        <v>6</v>
      </c>
      <c r="X143" s="15">
        <f>IF(Table1412[[#This Row],[Gross]]&gt;0,Table1412[[#This Row],[Gross]]-Table1412[[#This Row],[HCP]],0)</f>
        <v>84</v>
      </c>
      <c r="Y143" s="14" t="s">
        <v>78</v>
      </c>
      <c r="Z143" s="14">
        <v>3</v>
      </c>
      <c r="AA143" s="21"/>
      <c r="AB143" s="21">
        <v>0</v>
      </c>
      <c r="AC143" s="14" t="str">
        <f>VLOOKUP(Table1412[[#This Row],[Hole]],'Player Info'!A:B,2,0)</f>
        <v>Eric</v>
      </c>
      <c r="AF143" s="4"/>
      <c r="AG143" s="4"/>
    </row>
    <row r="144" spans="1:33" ht="12.75" hidden="1" outlineLevel="1" x14ac:dyDescent="0.2">
      <c r="A144" s="19" t="s">
        <v>54</v>
      </c>
      <c r="B144" s="130">
        <v>6</v>
      </c>
      <c r="C144" s="130">
        <v>5</v>
      </c>
      <c r="D144" s="130">
        <v>6</v>
      </c>
      <c r="E144" s="130">
        <v>6</v>
      </c>
      <c r="F144" s="130">
        <v>2</v>
      </c>
      <c r="G144" s="130">
        <v>6</v>
      </c>
      <c r="H144" s="130">
        <v>8</v>
      </c>
      <c r="I144" s="130">
        <v>5</v>
      </c>
      <c r="J144" s="130">
        <v>4</v>
      </c>
      <c r="K144" s="14">
        <v>4</v>
      </c>
      <c r="L144" s="14">
        <v>4</v>
      </c>
      <c r="M144" s="14">
        <v>3</v>
      </c>
      <c r="N144" s="14">
        <v>5</v>
      </c>
      <c r="O144" s="14">
        <v>7</v>
      </c>
      <c r="P144" s="14">
        <v>4</v>
      </c>
      <c r="Q144" s="14">
        <v>5</v>
      </c>
      <c r="R144" s="14">
        <v>4</v>
      </c>
      <c r="S144" s="14">
        <v>7</v>
      </c>
      <c r="T144" s="15">
        <f>SUM(Table1412[[#This Row],[1]:[9]])</f>
        <v>48</v>
      </c>
      <c r="U144" s="15">
        <f>SUM(Table1412[[#This Row],[10]:[18]])</f>
        <v>43</v>
      </c>
      <c r="V144" s="15">
        <f>SUM(Table1412[[#This Row],[Out]:[In]])</f>
        <v>91</v>
      </c>
      <c r="W144" s="15">
        <f>VLOOKUP(Table1412[[#This Row],[Hole]],'Player Info'!A:C,3,0)</f>
        <v>15</v>
      </c>
      <c r="X144" s="15">
        <f>IF(Table1412[[#This Row],[Gross]]&gt;0,Table1412[[#This Row],[Gross]]-Table1412[[#This Row],[HCP]],0)</f>
        <v>76</v>
      </c>
      <c r="Y144" s="14" t="s">
        <v>80</v>
      </c>
      <c r="Z144" s="14">
        <v>0</v>
      </c>
      <c r="AA144" s="21"/>
      <c r="AB144" s="21">
        <v>1</v>
      </c>
      <c r="AC144" s="14" t="str">
        <f>VLOOKUP(Table1412[[#This Row],[Hole]],'Player Info'!A:B,2,0)</f>
        <v>Danny</v>
      </c>
      <c r="AF144" s="4"/>
      <c r="AG144" s="4"/>
    </row>
    <row r="145" spans="1:33" ht="12.75" hidden="1" outlineLevel="1" x14ac:dyDescent="0.2">
      <c r="A145" s="19" t="s">
        <v>37</v>
      </c>
      <c r="B145" s="14">
        <v>4</v>
      </c>
      <c r="C145" s="14">
        <v>8</v>
      </c>
      <c r="D145" s="14">
        <v>5</v>
      </c>
      <c r="E145" s="14">
        <v>5</v>
      </c>
      <c r="F145" s="14">
        <v>4</v>
      </c>
      <c r="G145" s="14">
        <v>6</v>
      </c>
      <c r="H145" s="14">
        <v>6</v>
      </c>
      <c r="I145" s="14">
        <v>6</v>
      </c>
      <c r="J145" s="14">
        <v>8</v>
      </c>
      <c r="K145" s="14">
        <v>4</v>
      </c>
      <c r="L145" s="14">
        <v>5</v>
      </c>
      <c r="M145" s="14">
        <v>4</v>
      </c>
      <c r="N145" s="14">
        <v>4</v>
      </c>
      <c r="O145" s="14">
        <v>6</v>
      </c>
      <c r="P145" s="14">
        <v>4</v>
      </c>
      <c r="Q145" s="14">
        <v>5</v>
      </c>
      <c r="R145" s="14">
        <v>4</v>
      </c>
      <c r="S145" s="14">
        <v>5</v>
      </c>
      <c r="T145" s="15">
        <f>SUM(Table1412[[#This Row],[1]:[9]])</f>
        <v>52</v>
      </c>
      <c r="U145" s="15">
        <f>SUM(Table1412[[#This Row],[10]:[18]])</f>
        <v>41</v>
      </c>
      <c r="V145" s="15">
        <f>SUM(Table1412[[#This Row],[Out]:[In]])</f>
        <v>93</v>
      </c>
      <c r="W145" s="15">
        <f>VLOOKUP(Table1412[[#This Row],[Hole]],'Player Info'!A:C,3,0)</f>
        <v>9</v>
      </c>
      <c r="X145" s="15">
        <f>IF(Table1412[[#This Row],[Gross]]&gt;0,Table1412[[#This Row],[Gross]]-Table1412[[#This Row],[HCP]],0)</f>
        <v>84</v>
      </c>
      <c r="Y145" s="14" t="s">
        <v>84</v>
      </c>
      <c r="Z145" s="14">
        <v>0</v>
      </c>
      <c r="AA145" s="21"/>
      <c r="AB145" s="21">
        <v>0</v>
      </c>
      <c r="AC145" s="14" t="str">
        <f>VLOOKUP(Table1412[[#This Row],[Hole]],'Player Info'!A:B,2,0)</f>
        <v>Danny</v>
      </c>
      <c r="AF145" s="4"/>
      <c r="AG145" s="4"/>
    </row>
    <row r="146" spans="1:33" ht="12.75" hidden="1" outlineLevel="1" x14ac:dyDescent="0.2">
      <c r="A146" s="19" t="s">
        <v>50</v>
      </c>
      <c r="B146" s="16">
        <v>4</v>
      </c>
      <c r="C146" s="16">
        <v>6</v>
      </c>
      <c r="D146" s="16">
        <v>5</v>
      </c>
      <c r="E146" s="16">
        <v>4</v>
      </c>
      <c r="F146" s="16">
        <v>5</v>
      </c>
      <c r="G146" s="16">
        <v>5</v>
      </c>
      <c r="H146" s="16">
        <v>6</v>
      </c>
      <c r="I146" s="16">
        <v>4</v>
      </c>
      <c r="J146" s="16">
        <v>4</v>
      </c>
      <c r="K146" s="16">
        <v>3</v>
      </c>
      <c r="L146" s="16">
        <v>4</v>
      </c>
      <c r="M146" s="16">
        <v>2</v>
      </c>
      <c r="N146" s="16">
        <v>5</v>
      </c>
      <c r="O146" s="16">
        <v>6</v>
      </c>
      <c r="P146" s="16">
        <v>4</v>
      </c>
      <c r="Q146" s="16">
        <v>5</v>
      </c>
      <c r="R146" s="16">
        <v>4</v>
      </c>
      <c r="S146" s="16">
        <v>6</v>
      </c>
      <c r="T146" s="17">
        <f>SUM(Table1412[[#This Row],[1]:[9]])</f>
        <v>43</v>
      </c>
      <c r="U146" s="17">
        <f>SUM(Table1412[[#This Row],[10]:[18]])</f>
        <v>39</v>
      </c>
      <c r="V146" s="17">
        <f>SUM(Table1412[[#This Row],[Out]:[In]])</f>
        <v>82</v>
      </c>
      <c r="W146" s="15">
        <f>VLOOKUP(Table1412[[#This Row],[Hole]],'Player Info'!A:C,3,0)</f>
        <v>10</v>
      </c>
      <c r="X146" s="15">
        <f>IF(Table1412[[#This Row],[Gross]]&gt;0,Table1412[[#This Row],[Gross]]-Table1412[[#This Row],[HCP]],0)</f>
        <v>72</v>
      </c>
      <c r="Y146" s="16" t="s">
        <v>82</v>
      </c>
      <c r="Z146" s="16">
        <v>0</v>
      </c>
      <c r="AA146" s="21"/>
      <c r="AB146" s="21">
        <v>1</v>
      </c>
      <c r="AC146" s="14" t="str">
        <f>VLOOKUP(Table1412[[#This Row],[Hole]],'Player Info'!A:B,2,0)</f>
        <v>Eric</v>
      </c>
      <c r="AF146" s="4"/>
      <c r="AG146" s="4"/>
    </row>
    <row r="147" spans="1:33" ht="12.75" hidden="1" outlineLevel="1" x14ac:dyDescent="0.2">
      <c r="A147" s="19" t="s">
        <v>45</v>
      </c>
      <c r="B147" s="14">
        <v>5</v>
      </c>
      <c r="C147" s="14">
        <v>5</v>
      </c>
      <c r="D147" s="14">
        <v>4</v>
      </c>
      <c r="E147" s="14">
        <v>4</v>
      </c>
      <c r="F147" s="14">
        <v>3</v>
      </c>
      <c r="G147" s="14">
        <v>4</v>
      </c>
      <c r="H147" s="14">
        <v>5</v>
      </c>
      <c r="I147" s="14">
        <v>5</v>
      </c>
      <c r="J147" s="14">
        <v>4</v>
      </c>
      <c r="K147" s="14">
        <v>5</v>
      </c>
      <c r="L147" s="14">
        <v>4</v>
      </c>
      <c r="M147" s="14">
        <v>3</v>
      </c>
      <c r="N147" s="14">
        <v>4</v>
      </c>
      <c r="O147" s="14">
        <v>5</v>
      </c>
      <c r="P147" s="14">
        <v>3</v>
      </c>
      <c r="Q147" s="14">
        <v>5</v>
      </c>
      <c r="R147" s="14">
        <v>5</v>
      </c>
      <c r="S147" s="14">
        <v>6</v>
      </c>
      <c r="T147" s="15">
        <f>SUM(Table1412[[#This Row],[1]:[9]])</f>
        <v>39</v>
      </c>
      <c r="U147" s="15">
        <f>SUM(Table1412[[#This Row],[10]:[18]])</f>
        <v>40</v>
      </c>
      <c r="V147" s="15">
        <f>SUM(Table1412[[#This Row],[Out]:[In]])</f>
        <v>79</v>
      </c>
      <c r="W147" s="15">
        <f>VLOOKUP(Table1412[[#This Row],[Hole]],'Player Info'!A:C,3,0)</f>
        <v>6</v>
      </c>
      <c r="X147" s="15">
        <f>IF(Table1412[[#This Row],[Gross]]&gt;0,Table1412[[#This Row],[Gross]]-Table1412[[#This Row],[HCP]],0)</f>
        <v>73</v>
      </c>
      <c r="Y147" s="14" t="s">
        <v>79</v>
      </c>
      <c r="Z147" s="14">
        <v>0</v>
      </c>
      <c r="AA147" s="21"/>
      <c r="AB147" s="21">
        <v>1</v>
      </c>
      <c r="AC147" s="14" t="str">
        <f>VLOOKUP(Table1412[[#This Row],[Hole]],'Player Info'!A:B,2,0)</f>
        <v>Matt</v>
      </c>
      <c r="AF147" s="4"/>
      <c r="AG147" s="4"/>
    </row>
    <row r="148" spans="1:33" ht="12.75" hidden="1" outlineLevel="1" x14ac:dyDescent="0.2">
      <c r="A148" s="19" t="s">
        <v>48</v>
      </c>
      <c r="B148" s="14">
        <v>8</v>
      </c>
      <c r="C148" s="14">
        <v>5</v>
      </c>
      <c r="D148" s="14">
        <v>6</v>
      </c>
      <c r="E148" s="71">
        <v>8</v>
      </c>
      <c r="F148" s="14">
        <v>3</v>
      </c>
      <c r="G148" s="14">
        <v>5</v>
      </c>
      <c r="H148" s="14">
        <v>7</v>
      </c>
      <c r="I148" s="14">
        <v>6</v>
      </c>
      <c r="J148" s="14">
        <v>5</v>
      </c>
      <c r="K148" s="14">
        <v>4</v>
      </c>
      <c r="L148" s="14">
        <v>5</v>
      </c>
      <c r="M148" s="14">
        <v>3</v>
      </c>
      <c r="N148" s="14">
        <v>4</v>
      </c>
      <c r="O148" s="14">
        <v>8</v>
      </c>
      <c r="P148" s="14">
        <v>3</v>
      </c>
      <c r="Q148" s="14">
        <v>9</v>
      </c>
      <c r="R148" s="14">
        <v>5</v>
      </c>
      <c r="S148" s="14">
        <v>5</v>
      </c>
      <c r="T148" s="15">
        <f>SUM(Table1412[[#This Row],[1]:[9]])</f>
        <v>53</v>
      </c>
      <c r="U148" s="15">
        <f>SUM(Table1412[[#This Row],[10]:[18]])</f>
        <v>46</v>
      </c>
      <c r="V148" s="15">
        <f>SUM(Table1412[[#This Row],[Out]:[In]])</f>
        <v>99</v>
      </c>
      <c r="W148" s="15">
        <f>VLOOKUP(Table1412[[#This Row],[Hole]],'Player Info'!A:C,3,0)</f>
        <v>16</v>
      </c>
      <c r="X148" s="15">
        <f>IF(Table1412[[#This Row],[Gross]]&gt;0,Table1412[[#This Row],[Gross]]-Table1412[[#This Row],[HCP]],0)</f>
        <v>83</v>
      </c>
      <c r="Y148" s="14" t="s">
        <v>80</v>
      </c>
      <c r="Z148" s="14">
        <v>1</v>
      </c>
      <c r="AA148" s="21"/>
      <c r="AB148" s="21">
        <v>0</v>
      </c>
      <c r="AC148" s="14" t="str">
        <f>VLOOKUP(Table1412[[#This Row],[Hole]],'Player Info'!A:B,2,0)</f>
        <v>Matt</v>
      </c>
      <c r="AF148" s="4"/>
      <c r="AG148" s="4"/>
    </row>
    <row r="149" spans="1:33" ht="12.75" hidden="1" outlineLevel="1" x14ac:dyDescent="0.2">
      <c r="A149" s="19" t="s">
        <v>49</v>
      </c>
      <c r="B149" s="14">
        <v>4</v>
      </c>
      <c r="C149" s="14">
        <v>6</v>
      </c>
      <c r="D149" s="14">
        <v>5</v>
      </c>
      <c r="E149" s="14">
        <v>3</v>
      </c>
      <c r="F149" s="14">
        <v>4</v>
      </c>
      <c r="G149" s="14">
        <v>5</v>
      </c>
      <c r="H149" s="14">
        <v>5</v>
      </c>
      <c r="I149" s="14">
        <v>7</v>
      </c>
      <c r="J149" s="14">
        <v>5</v>
      </c>
      <c r="K149" s="14">
        <v>4</v>
      </c>
      <c r="L149" s="14">
        <v>4</v>
      </c>
      <c r="M149" s="14">
        <v>4</v>
      </c>
      <c r="N149" s="14">
        <v>5</v>
      </c>
      <c r="O149" s="14">
        <v>6</v>
      </c>
      <c r="P149" s="14">
        <v>3</v>
      </c>
      <c r="Q149" s="14">
        <v>4</v>
      </c>
      <c r="R149" s="14">
        <v>3</v>
      </c>
      <c r="S149" s="14">
        <v>5</v>
      </c>
      <c r="T149" s="15">
        <f>SUM(Table1412[[#This Row],[1]:[9]])</f>
        <v>44</v>
      </c>
      <c r="U149" s="15">
        <f>SUM(Table1412[[#This Row],[10]:[18]])</f>
        <v>38</v>
      </c>
      <c r="V149" s="15">
        <f>SUM(Table1412[[#This Row],[Out]:[In]])</f>
        <v>82</v>
      </c>
      <c r="W149" s="15">
        <f>VLOOKUP(Table1412[[#This Row],[Hole]],'Player Info'!A:C,3,0)</f>
        <v>3</v>
      </c>
      <c r="X149" s="15">
        <f>IF(Table1412[[#This Row],[Gross]]&gt;0,Table1412[[#This Row],[Gross]]-Table1412[[#This Row],[HCP]],0)</f>
        <v>79</v>
      </c>
      <c r="Y149" s="14" t="s">
        <v>78</v>
      </c>
      <c r="Z149" s="14">
        <v>0</v>
      </c>
      <c r="AA149" s="21"/>
      <c r="AB149" s="21">
        <v>1</v>
      </c>
      <c r="AC149" s="14" t="str">
        <f>VLOOKUP(Table1412[[#This Row],[Hole]],'Player Info'!A:B,2,0)</f>
        <v>Matt</v>
      </c>
      <c r="AF149" s="4"/>
      <c r="AG149" s="4"/>
    </row>
    <row r="150" spans="1:33" ht="12.75" hidden="1" outlineLevel="1" x14ac:dyDescent="0.2">
      <c r="A150" s="19" t="s">
        <v>51</v>
      </c>
      <c r="B150" s="14">
        <v>6</v>
      </c>
      <c r="C150" s="14">
        <v>6</v>
      </c>
      <c r="D150" s="71">
        <v>5</v>
      </c>
      <c r="E150" s="71">
        <v>6</v>
      </c>
      <c r="F150" s="14">
        <v>3</v>
      </c>
      <c r="G150" s="14">
        <v>5</v>
      </c>
      <c r="H150" s="14">
        <v>5</v>
      </c>
      <c r="I150" s="71">
        <v>6</v>
      </c>
      <c r="J150" s="14">
        <v>6</v>
      </c>
      <c r="K150" s="14">
        <v>4</v>
      </c>
      <c r="L150" s="14">
        <v>6</v>
      </c>
      <c r="M150" s="14">
        <v>5</v>
      </c>
      <c r="N150" s="71">
        <v>5</v>
      </c>
      <c r="O150" s="14">
        <v>6</v>
      </c>
      <c r="P150" s="14">
        <v>4</v>
      </c>
      <c r="Q150" s="14">
        <v>4</v>
      </c>
      <c r="R150" s="71">
        <v>5</v>
      </c>
      <c r="S150" s="14">
        <v>7</v>
      </c>
      <c r="T150" s="15">
        <f>SUM(Table1412[[#This Row],[1]:[9]])</f>
        <v>48</v>
      </c>
      <c r="U150" s="15">
        <f>SUM(Table1412[[#This Row],[10]:[18]])</f>
        <v>46</v>
      </c>
      <c r="V150" s="15">
        <f>SUM(Table1412[[#This Row],[Out]:[In]])</f>
        <v>94</v>
      </c>
      <c r="W150" s="15">
        <f>VLOOKUP(Table1412[[#This Row],[Hole]],'Player Info'!A:C,3,0)</f>
        <v>14</v>
      </c>
      <c r="X150" s="15">
        <f>IF(Table1412[[#This Row],[Gross]]&gt;0,Table1412[[#This Row],[Gross]]-Table1412[[#This Row],[HCP]],0)</f>
        <v>80</v>
      </c>
      <c r="Y150" s="14" t="s">
        <v>84</v>
      </c>
      <c r="Z150" s="14">
        <v>5</v>
      </c>
      <c r="AA150" s="21"/>
      <c r="AB150" s="21">
        <v>1</v>
      </c>
      <c r="AC150" s="14" t="str">
        <f>VLOOKUP(Table1412[[#This Row],[Hole]],'Player Info'!A:B,2,0)</f>
        <v>Eric</v>
      </c>
      <c r="AF150" s="4"/>
      <c r="AG150" s="4"/>
    </row>
    <row r="151" spans="1:33" ht="16.5" customHeight="1" collapsed="1" x14ac:dyDescent="0.25"/>
    <row r="152" spans="1:33" x14ac:dyDescent="0.25">
      <c r="A152" s="78" t="s">
        <v>89</v>
      </c>
      <c r="B152" s="79"/>
      <c r="C152" s="79"/>
      <c r="D152" s="79"/>
      <c r="E152" s="79"/>
      <c r="F152" s="79"/>
      <c r="G152" s="79"/>
      <c r="H152" s="79"/>
      <c r="I152" s="79"/>
      <c r="J152" s="79"/>
      <c r="K152" s="79"/>
      <c r="L152" s="79"/>
      <c r="M152" s="79"/>
      <c r="N152" s="79"/>
      <c r="O152" s="79"/>
      <c r="P152" s="79"/>
      <c r="Q152" s="79"/>
      <c r="R152" s="79"/>
      <c r="S152" s="79"/>
      <c r="T152" s="79"/>
      <c r="U152" s="79"/>
      <c r="V152" s="79"/>
      <c r="W152" s="79"/>
      <c r="X152" s="79"/>
      <c r="Y152" s="80"/>
      <c r="Z152" s="79"/>
      <c r="AA152" s="78"/>
      <c r="AB152" s="81"/>
      <c r="AC152" s="81"/>
    </row>
    <row r="153" spans="1:33" ht="12.75" hidden="1" outlineLevel="1" x14ac:dyDescent="0.2">
      <c r="A153" s="1" t="s">
        <v>0</v>
      </c>
      <c r="B153" s="2" t="s">
        <v>42</v>
      </c>
      <c r="Y153" s="3"/>
      <c r="AA153" s="3"/>
      <c r="AB153" s="3"/>
      <c r="AC153" s="3"/>
      <c r="AF153" s="4"/>
      <c r="AG153" s="4"/>
    </row>
    <row r="154" spans="1:33" ht="12.75" hidden="1" outlineLevel="1" x14ac:dyDescent="0.2">
      <c r="A154" s="5" t="s">
        <v>2</v>
      </c>
      <c r="B154" s="6">
        <v>437</v>
      </c>
      <c r="C154" s="6">
        <v>187</v>
      </c>
      <c r="D154" s="6">
        <v>539</v>
      </c>
      <c r="E154" s="6">
        <v>320</v>
      </c>
      <c r="F154" s="6">
        <v>199</v>
      </c>
      <c r="G154" s="6">
        <v>462</v>
      </c>
      <c r="H154" s="6">
        <v>415</v>
      </c>
      <c r="I154" s="6">
        <v>493</v>
      </c>
      <c r="J154" s="6">
        <v>361</v>
      </c>
      <c r="K154" s="6">
        <v>398</v>
      </c>
      <c r="L154" s="6">
        <v>544</v>
      </c>
      <c r="M154" s="6">
        <v>314</v>
      </c>
      <c r="N154" s="6">
        <v>400</v>
      </c>
      <c r="O154" s="6">
        <v>214</v>
      </c>
      <c r="P154" s="6">
        <v>419</v>
      </c>
      <c r="Q154" s="6">
        <v>429</v>
      </c>
      <c r="R154" s="6">
        <v>133</v>
      </c>
      <c r="S154" s="6">
        <v>528</v>
      </c>
      <c r="T154" s="6">
        <f>SUM(B154:J154)</f>
        <v>3413</v>
      </c>
      <c r="U154" s="6">
        <f>SUM(K154:S154)</f>
        <v>3379</v>
      </c>
      <c r="V154" s="6">
        <f>SUM(T154:U154)</f>
        <v>6792</v>
      </c>
      <c r="W154" s="6"/>
      <c r="X154" s="7"/>
      <c r="Y154" s="7"/>
      <c r="Z154" s="7"/>
      <c r="AA154" s="7"/>
      <c r="AB154" s="7"/>
      <c r="AC154" s="7"/>
      <c r="AF154" s="4"/>
      <c r="AG154" s="4"/>
    </row>
    <row r="155" spans="1:33" ht="12.75" hidden="1" outlineLevel="1" x14ac:dyDescent="0.2">
      <c r="A155" s="8" t="s">
        <v>3</v>
      </c>
      <c r="B155" s="9">
        <v>5</v>
      </c>
      <c r="C155" s="9">
        <v>17</v>
      </c>
      <c r="D155" s="9">
        <v>9</v>
      </c>
      <c r="E155" s="9">
        <v>13</v>
      </c>
      <c r="F155" s="9">
        <v>15</v>
      </c>
      <c r="G155" s="9">
        <v>3</v>
      </c>
      <c r="H155" s="9">
        <v>1</v>
      </c>
      <c r="I155" s="9">
        <v>7</v>
      </c>
      <c r="J155" s="9">
        <v>11</v>
      </c>
      <c r="K155" s="9">
        <v>10</v>
      </c>
      <c r="L155" s="9">
        <v>4</v>
      </c>
      <c r="M155" s="9">
        <v>16</v>
      </c>
      <c r="N155" s="9">
        <v>12</v>
      </c>
      <c r="O155" s="9">
        <v>14</v>
      </c>
      <c r="P155" s="9">
        <v>8</v>
      </c>
      <c r="Q155" s="9">
        <v>2</v>
      </c>
      <c r="R155" s="9">
        <v>18</v>
      </c>
      <c r="S155" s="9">
        <v>6</v>
      </c>
      <c r="T155" s="7"/>
      <c r="U155" s="7"/>
      <c r="V155" s="7"/>
      <c r="W155" s="7"/>
      <c r="X155" s="7"/>
      <c r="Y155" s="7"/>
      <c r="Z155" s="7"/>
      <c r="AA155" s="7"/>
      <c r="AB155" s="7"/>
      <c r="AC155" s="7"/>
      <c r="AF155" s="4"/>
      <c r="AG155" s="4"/>
    </row>
    <row r="156" spans="1:33" ht="12.75" hidden="1" outlineLevel="1" x14ac:dyDescent="0.2">
      <c r="A156" s="10" t="s">
        <v>8</v>
      </c>
      <c r="B156" s="11">
        <v>4</v>
      </c>
      <c r="C156" s="11">
        <v>3</v>
      </c>
      <c r="D156" s="11">
        <v>5</v>
      </c>
      <c r="E156" s="11">
        <v>4</v>
      </c>
      <c r="F156" s="11">
        <v>3</v>
      </c>
      <c r="G156" s="11">
        <v>4</v>
      </c>
      <c r="H156" s="11">
        <v>4</v>
      </c>
      <c r="I156" s="11">
        <v>5</v>
      </c>
      <c r="J156" s="11">
        <v>4</v>
      </c>
      <c r="K156" s="11">
        <v>4</v>
      </c>
      <c r="L156" s="11">
        <v>5</v>
      </c>
      <c r="M156" s="11">
        <v>4</v>
      </c>
      <c r="N156" s="11">
        <v>4</v>
      </c>
      <c r="O156" s="11">
        <v>3</v>
      </c>
      <c r="P156" s="11">
        <v>4</v>
      </c>
      <c r="Q156" s="11">
        <v>4</v>
      </c>
      <c r="R156" s="11">
        <v>3</v>
      </c>
      <c r="S156" s="11">
        <v>5</v>
      </c>
      <c r="T156" s="11">
        <v>36</v>
      </c>
      <c r="U156" s="11">
        <v>36</v>
      </c>
      <c r="V156" s="11">
        <v>72</v>
      </c>
      <c r="W156" s="7"/>
      <c r="X156" s="7"/>
      <c r="Y156" s="7"/>
      <c r="Z156" s="7"/>
      <c r="AA156" s="7"/>
      <c r="AB156" s="7"/>
      <c r="AC156" s="7"/>
      <c r="AF156" s="4"/>
      <c r="AG156" s="4"/>
    </row>
    <row r="157" spans="1:33" ht="12.75" hidden="1" outlineLevel="1" x14ac:dyDescent="0.2">
      <c r="A157" s="12" t="s">
        <v>9</v>
      </c>
      <c r="B157" s="13" t="s">
        <v>19</v>
      </c>
      <c r="C157" s="13" t="s">
        <v>20</v>
      </c>
      <c r="D157" s="13" t="s">
        <v>18</v>
      </c>
      <c r="E157" s="13" t="s">
        <v>16</v>
      </c>
      <c r="F157" s="13" t="s">
        <v>17</v>
      </c>
      <c r="G157" s="13" t="s">
        <v>21</v>
      </c>
      <c r="H157" s="13" t="s">
        <v>22</v>
      </c>
      <c r="I157" s="13" t="s">
        <v>23</v>
      </c>
      <c r="J157" s="13" t="s">
        <v>24</v>
      </c>
      <c r="K157" s="13" t="s">
        <v>25</v>
      </c>
      <c r="L157" s="13" t="s">
        <v>26</v>
      </c>
      <c r="M157" s="13" t="s">
        <v>27</v>
      </c>
      <c r="N157" s="13" t="s">
        <v>28</v>
      </c>
      <c r="O157" s="13" t="s">
        <v>29</v>
      </c>
      <c r="P157" s="13" t="s">
        <v>30</v>
      </c>
      <c r="Q157" s="13" t="s">
        <v>31</v>
      </c>
      <c r="R157" s="13" t="s">
        <v>32</v>
      </c>
      <c r="S157" s="13" t="s">
        <v>33</v>
      </c>
      <c r="T157" s="13" t="s">
        <v>5</v>
      </c>
      <c r="U157" s="13" t="s">
        <v>4</v>
      </c>
      <c r="V157" s="13" t="s">
        <v>34</v>
      </c>
      <c r="W157" s="13" t="s">
        <v>7</v>
      </c>
      <c r="X157" s="13" t="s">
        <v>6</v>
      </c>
      <c r="Y157" s="13" t="s">
        <v>35</v>
      </c>
      <c r="Z157" s="13" t="s">
        <v>81</v>
      </c>
      <c r="AA157" s="13" t="s">
        <v>43</v>
      </c>
      <c r="AB157" s="13" t="s">
        <v>38</v>
      </c>
      <c r="AC157" s="13" t="s">
        <v>11</v>
      </c>
      <c r="AF157" s="4"/>
      <c r="AG157" s="4"/>
    </row>
    <row r="158" spans="1:33" ht="12.75" hidden="1" outlineLevel="1" x14ac:dyDescent="0.2">
      <c r="A158" s="19" t="s">
        <v>15</v>
      </c>
      <c r="B158" s="14">
        <v>7</v>
      </c>
      <c r="C158" s="14">
        <v>5</v>
      </c>
      <c r="D158" s="14">
        <v>8</v>
      </c>
      <c r="E158" s="14">
        <v>6</v>
      </c>
      <c r="F158" s="14">
        <v>6</v>
      </c>
      <c r="G158" s="14">
        <v>7</v>
      </c>
      <c r="H158" s="14">
        <v>7</v>
      </c>
      <c r="I158" s="14">
        <v>7</v>
      </c>
      <c r="J158" s="14">
        <v>6</v>
      </c>
      <c r="K158" s="14">
        <v>7</v>
      </c>
      <c r="L158" s="14">
        <v>8</v>
      </c>
      <c r="M158" s="14">
        <v>6</v>
      </c>
      <c r="N158" s="14">
        <v>8</v>
      </c>
      <c r="O158" s="14">
        <v>7</v>
      </c>
      <c r="P158" s="14">
        <v>6</v>
      </c>
      <c r="Q158" s="14">
        <v>8</v>
      </c>
      <c r="R158" s="14">
        <v>5</v>
      </c>
      <c r="S158" s="14">
        <v>7</v>
      </c>
      <c r="T158" s="15">
        <f>SUM(Table14513[[#This Row],[1]:[9]])</f>
        <v>59</v>
      </c>
      <c r="U158" s="15">
        <f>SUM(Table14513[[#This Row],[10]:[18]])</f>
        <v>62</v>
      </c>
      <c r="V158" s="15">
        <f>SUM(Table14513[[#This Row],[Out]:[In]])</f>
        <v>121</v>
      </c>
      <c r="W158" s="15">
        <f>IF(Table14513[[#This Row],[Gross]]&gt;0,Table14513[[#This Row],[Gross]]-Table14513[[#This Row],[HCP]],0)</f>
        <v>106</v>
      </c>
      <c r="X158" s="15">
        <f>VLOOKUP(Table14513[[#This Row],[Hole]],'Player Info'!A:C,3,0)</f>
        <v>15</v>
      </c>
      <c r="Y158" s="14" t="s">
        <v>83</v>
      </c>
      <c r="Z158" s="14">
        <v>0</v>
      </c>
      <c r="AA158" s="21"/>
      <c r="AB158" s="21">
        <v>0</v>
      </c>
      <c r="AC158" s="14" t="str">
        <f>VLOOKUP(Table14513[[#This Row],[Hole]],'Player Info'!A:B,2,0)</f>
        <v>Eric</v>
      </c>
      <c r="AF158" s="4"/>
      <c r="AG158" s="4"/>
    </row>
    <row r="159" spans="1:33" ht="12.75" hidden="1" outlineLevel="1" x14ac:dyDescent="0.2">
      <c r="A159" s="19" t="s">
        <v>47</v>
      </c>
      <c r="B159" s="71">
        <v>6</v>
      </c>
      <c r="C159" s="14">
        <v>2</v>
      </c>
      <c r="D159" s="14">
        <v>5</v>
      </c>
      <c r="E159" s="14">
        <v>6</v>
      </c>
      <c r="F159" s="14">
        <v>4</v>
      </c>
      <c r="G159" s="71">
        <v>7</v>
      </c>
      <c r="H159" s="71">
        <v>6</v>
      </c>
      <c r="I159" s="71">
        <v>7</v>
      </c>
      <c r="J159" s="14">
        <v>5</v>
      </c>
      <c r="K159" s="14">
        <v>4</v>
      </c>
      <c r="L159" s="71">
        <v>4</v>
      </c>
      <c r="M159" s="14">
        <v>4</v>
      </c>
      <c r="N159" s="14">
        <v>4</v>
      </c>
      <c r="O159" s="14">
        <v>5</v>
      </c>
      <c r="P159" s="14">
        <v>5</v>
      </c>
      <c r="Q159" s="71">
        <v>4</v>
      </c>
      <c r="R159" s="14">
        <v>3</v>
      </c>
      <c r="S159" s="71">
        <v>4</v>
      </c>
      <c r="T159" s="15">
        <f>SUM(Table14513[[#This Row],[1]:[9]])</f>
        <v>48</v>
      </c>
      <c r="U159" s="15">
        <f>SUM(Table14513[[#This Row],[10]:[18]])</f>
        <v>37</v>
      </c>
      <c r="V159" s="15">
        <f>SUM(Table14513[[#This Row],[Out]:[In]])</f>
        <v>85</v>
      </c>
      <c r="W159" s="15">
        <f>IF(Table14513[[#This Row],[Gross]]&gt;0,Table14513[[#This Row],[Gross]]-Table14513[[#This Row],[HCP]],0)</f>
        <v>75</v>
      </c>
      <c r="X159" s="15">
        <f>VLOOKUP(Table14513[[#This Row],[Hole]],'Player Info'!A:C,3,0)</f>
        <v>10</v>
      </c>
      <c r="Y159" s="14" t="s">
        <v>82</v>
      </c>
      <c r="Z159" s="14">
        <v>7</v>
      </c>
      <c r="AA159" s="21"/>
      <c r="AB159" s="21">
        <v>1</v>
      </c>
      <c r="AC159" s="14" t="str">
        <f>VLOOKUP(Table14513[[#This Row],[Hole]],'Player Info'!A:B,2,0)</f>
        <v>Danny</v>
      </c>
      <c r="AF159" s="4"/>
      <c r="AG159" s="4"/>
    </row>
    <row r="160" spans="1:33" ht="12.75" hidden="1" outlineLevel="1" x14ac:dyDescent="0.2">
      <c r="A160" s="19" t="s">
        <v>52</v>
      </c>
      <c r="B160" s="14">
        <v>5</v>
      </c>
      <c r="C160" s="14">
        <v>2</v>
      </c>
      <c r="D160" s="14">
        <v>6</v>
      </c>
      <c r="E160" s="14">
        <v>5</v>
      </c>
      <c r="F160" s="14">
        <v>3</v>
      </c>
      <c r="G160" s="14">
        <v>8</v>
      </c>
      <c r="H160" s="71">
        <v>7</v>
      </c>
      <c r="I160" s="14">
        <v>10</v>
      </c>
      <c r="J160" s="14">
        <v>5</v>
      </c>
      <c r="K160" s="14">
        <v>5</v>
      </c>
      <c r="L160" s="14">
        <v>8</v>
      </c>
      <c r="M160" s="14">
        <v>5</v>
      </c>
      <c r="N160" s="14">
        <v>6</v>
      </c>
      <c r="O160" s="14">
        <v>3</v>
      </c>
      <c r="P160" s="14">
        <v>5</v>
      </c>
      <c r="Q160" s="71">
        <v>6</v>
      </c>
      <c r="R160" s="14">
        <v>4</v>
      </c>
      <c r="S160" s="14">
        <v>7</v>
      </c>
      <c r="T160" s="15">
        <f>SUM(Table14513[[#This Row],[1]:[9]])</f>
        <v>51</v>
      </c>
      <c r="U160" s="15">
        <f>SUM(Table14513[[#This Row],[10]:[18]])</f>
        <v>49</v>
      </c>
      <c r="V160" s="15">
        <f>SUM(Table14513[[#This Row],[Out]:[In]])</f>
        <v>100</v>
      </c>
      <c r="W160" s="15">
        <f>IF(Table14513[[#This Row],[Gross]]&gt;0,Table14513[[#This Row],[Gross]]-Table14513[[#This Row],[HCP]],0)</f>
        <v>84</v>
      </c>
      <c r="X160" s="15">
        <f>VLOOKUP(Table14513[[#This Row],[Hole]],'Player Info'!A:C,3,0)</f>
        <v>16</v>
      </c>
      <c r="Y160" s="14" t="s">
        <v>78</v>
      </c>
      <c r="Z160" s="14">
        <v>2</v>
      </c>
      <c r="AA160" s="21"/>
      <c r="AB160" s="21">
        <v>1</v>
      </c>
      <c r="AC160" s="14" t="str">
        <f>VLOOKUP(Table14513[[#This Row],[Hole]],'Player Info'!A:B,2,0)</f>
        <v>Matt</v>
      </c>
      <c r="AF160" s="4"/>
      <c r="AG160" s="4"/>
    </row>
    <row r="161" spans="1:33" ht="12.75" hidden="1" outlineLevel="1" x14ac:dyDescent="0.2">
      <c r="A161" s="19" t="s">
        <v>36</v>
      </c>
      <c r="B161" s="14">
        <v>6</v>
      </c>
      <c r="C161" s="14">
        <v>5</v>
      </c>
      <c r="D161" s="14">
        <v>6</v>
      </c>
      <c r="E161" s="14">
        <v>5</v>
      </c>
      <c r="F161" s="14">
        <v>5</v>
      </c>
      <c r="G161" s="14">
        <v>7</v>
      </c>
      <c r="H161" s="14">
        <v>6</v>
      </c>
      <c r="I161" s="14">
        <v>7</v>
      </c>
      <c r="J161" s="14">
        <v>5</v>
      </c>
      <c r="K161" s="14">
        <v>4</v>
      </c>
      <c r="L161" s="14">
        <v>6</v>
      </c>
      <c r="M161" s="14">
        <v>4</v>
      </c>
      <c r="N161" s="14">
        <v>5</v>
      </c>
      <c r="O161" s="14">
        <v>3</v>
      </c>
      <c r="P161" s="14">
        <v>4</v>
      </c>
      <c r="Q161" s="14">
        <v>5</v>
      </c>
      <c r="R161" s="14">
        <v>6</v>
      </c>
      <c r="S161" s="14">
        <v>6</v>
      </c>
      <c r="T161" s="15">
        <f>SUM(Table14513[[#This Row],[1]:[9]])</f>
        <v>52</v>
      </c>
      <c r="U161" s="15">
        <f>SUM(Table14513[[#This Row],[10]:[18]])</f>
        <v>43</v>
      </c>
      <c r="V161" s="15">
        <f>SUM(Table14513[[#This Row],[Out]:[In]])</f>
        <v>95</v>
      </c>
      <c r="W161" s="15">
        <f>IF(Table14513[[#This Row],[Gross]]&gt;0,Table14513[[#This Row],[Gross]]-Table14513[[#This Row],[HCP]],0)</f>
        <v>89</v>
      </c>
      <c r="X161" s="15">
        <f>VLOOKUP(Table14513[[#This Row],[Hole]],'Player Info'!A:C,3,0)</f>
        <v>6</v>
      </c>
      <c r="Y161" s="14" t="s">
        <v>84</v>
      </c>
      <c r="Z161" s="14">
        <v>0</v>
      </c>
      <c r="AA161" s="21"/>
      <c r="AB161" s="21">
        <v>0</v>
      </c>
      <c r="AC161" s="14" t="str">
        <f>VLOOKUP(Table14513[[#This Row],[Hole]],'Player Info'!A:B,2,0)</f>
        <v>Danny</v>
      </c>
      <c r="AF161" s="4"/>
      <c r="AG161" s="4"/>
    </row>
    <row r="162" spans="1:33" ht="12.75" hidden="1" outlineLevel="1" x14ac:dyDescent="0.2">
      <c r="A162" s="19" t="s">
        <v>14</v>
      </c>
      <c r="B162" s="14">
        <v>5</v>
      </c>
      <c r="C162" s="14">
        <v>4</v>
      </c>
      <c r="D162" s="14">
        <v>6</v>
      </c>
      <c r="E162" s="14">
        <v>4</v>
      </c>
      <c r="F162" s="14">
        <v>4</v>
      </c>
      <c r="G162" s="14">
        <v>5</v>
      </c>
      <c r="H162" s="14">
        <v>5</v>
      </c>
      <c r="I162" s="14">
        <v>5</v>
      </c>
      <c r="J162" s="14">
        <v>5</v>
      </c>
      <c r="K162" s="14">
        <v>5</v>
      </c>
      <c r="L162" s="14">
        <v>7</v>
      </c>
      <c r="M162" s="14">
        <v>5</v>
      </c>
      <c r="N162" s="14">
        <v>6</v>
      </c>
      <c r="O162" s="14">
        <v>5</v>
      </c>
      <c r="P162" s="14">
        <v>7</v>
      </c>
      <c r="Q162" s="14">
        <v>5</v>
      </c>
      <c r="R162" s="14">
        <v>3</v>
      </c>
      <c r="S162" s="14">
        <v>7</v>
      </c>
      <c r="T162" s="15">
        <f>SUM(Table14513[[#This Row],[1]:[9]])</f>
        <v>43</v>
      </c>
      <c r="U162" s="15">
        <f>SUM(Table14513[[#This Row],[10]:[18]])</f>
        <v>50</v>
      </c>
      <c r="V162" s="15">
        <f>SUM(Table14513[[#This Row],[Out]:[In]])</f>
        <v>93</v>
      </c>
      <c r="W162" s="15">
        <f>IF(Table14513[[#This Row],[Gross]]&gt;0,Table14513[[#This Row],[Gross]]-Table14513[[#This Row],[HCP]],0)</f>
        <v>87</v>
      </c>
      <c r="X162" s="15">
        <f>VLOOKUP(Table14513[[#This Row],[Hole]],'Player Info'!A:C,3,0)</f>
        <v>6</v>
      </c>
      <c r="Y162" s="14" t="s">
        <v>84</v>
      </c>
      <c r="Z162" s="14">
        <v>0</v>
      </c>
      <c r="AA162" s="21">
        <v>171</v>
      </c>
      <c r="AB162" s="21">
        <v>1</v>
      </c>
      <c r="AC162" s="14" t="str">
        <f>VLOOKUP(Table14513[[#This Row],[Hole]],'Player Info'!A:B,2,0)</f>
        <v>Eric</v>
      </c>
      <c r="AF162" s="4"/>
      <c r="AG162" s="4"/>
    </row>
    <row r="163" spans="1:33" ht="12.75" hidden="1" outlineLevel="1" x14ac:dyDescent="0.2">
      <c r="A163" s="19" t="s">
        <v>54</v>
      </c>
      <c r="B163" s="14">
        <v>6</v>
      </c>
      <c r="C163" s="14">
        <v>4</v>
      </c>
      <c r="D163" s="14">
        <v>6</v>
      </c>
      <c r="E163" s="14">
        <v>4</v>
      </c>
      <c r="F163" s="14">
        <v>5</v>
      </c>
      <c r="G163" s="14">
        <v>9</v>
      </c>
      <c r="H163" s="14">
        <v>6</v>
      </c>
      <c r="I163" s="14">
        <v>7</v>
      </c>
      <c r="J163" s="14">
        <v>5</v>
      </c>
      <c r="K163" s="14">
        <v>5</v>
      </c>
      <c r="L163" s="14">
        <v>7</v>
      </c>
      <c r="M163" s="14">
        <v>4</v>
      </c>
      <c r="N163" s="14">
        <v>5</v>
      </c>
      <c r="O163" s="14">
        <v>4</v>
      </c>
      <c r="P163" s="14">
        <v>5</v>
      </c>
      <c r="Q163" s="14">
        <v>6</v>
      </c>
      <c r="R163" s="14">
        <v>5</v>
      </c>
      <c r="S163" s="14">
        <v>7</v>
      </c>
      <c r="T163" s="15">
        <f>SUM(Table14513[[#This Row],[1]:[9]])</f>
        <v>52</v>
      </c>
      <c r="U163" s="15">
        <f>SUM(Table14513[[#This Row],[10]:[18]])</f>
        <v>48</v>
      </c>
      <c r="V163" s="15">
        <f>SUM(Table14513[[#This Row],[Out]:[In]])</f>
        <v>100</v>
      </c>
      <c r="W163" s="15">
        <f>IF(Table14513[[#This Row],[Gross]]&gt;0,Table14513[[#This Row],[Gross]]-Table14513[[#This Row],[HCP]],0)</f>
        <v>85</v>
      </c>
      <c r="X163" s="15">
        <f>VLOOKUP(Table14513[[#This Row],[Hole]],'Player Info'!A:C,3,0)</f>
        <v>15</v>
      </c>
      <c r="Y163" s="14" t="s">
        <v>83</v>
      </c>
      <c r="Z163" s="14">
        <v>0</v>
      </c>
      <c r="AA163" s="21">
        <v>161</v>
      </c>
      <c r="AB163" s="21">
        <v>1</v>
      </c>
      <c r="AC163" s="14" t="str">
        <f>VLOOKUP(Table14513[[#This Row],[Hole]],'Player Info'!A:B,2,0)</f>
        <v>Danny</v>
      </c>
      <c r="AF163" s="4"/>
      <c r="AG163" s="4"/>
    </row>
    <row r="164" spans="1:33" ht="12.75" hidden="1" outlineLevel="1" x14ac:dyDescent="0.2">
      <c r="A164" s="19" t="s">
        <v>37</v>
      </c>
      <c r="B164" s="14">
        <v>6</v>
      </c>
      <c r="C164" s="14">
        <v>4</v>
      </c>
      <c r="D164" s="14">
        <v>7</v>
      </c>
      <c r="E164" s="14">
        <v>4</v>
      </c>
      <c r="F164" s="14">
        <v>5</v>
      </c>
      <c r="G164" s="71">
        <v>7</v>
      </c>
      <c r="H164" s="71">
        <v>4</v>
      </c>
      <c r="I164" s="14">
        <v>9</v>
      </c>
      <c r="J164" s="14">
        <v>6</v>
      </c>
      <c r="K164" s="14">
        <v>5</v>
      </c>
      <c r="L164" s="14">
        <v>6</v>
      </c>
      <c r="M164" s="14">
        <v>6</v>
      </c>
      <c r="N164" s="14">
        <v>7</v>
      </c>
      <c r="O164" s="14">
        <v>3</v>
      </c>
      <c r="P164" s="14">
        <v>5</v>
      </c>
      <c r="Q164" s="71">
        <v>5</v>
      </c>
      <c r="R164" s="14">
        <v>3</v>
      </c>
      <c r="S164" s="14">
        <v>7</v>
      </c>
      <c r="T164" s="15">
        <f>SUM(Table14513[[#This Row],[1]:[9]])</f>
        <v>52</v>
      </c>
      <c r="U164" s="15">
        <f>SUM(Table14513[[#This Row],[10]:[18]])</f>
        <v>47</v>
      </c>
      <c r="V164" s="15">
        <f>SUM(Table14513[[#This Row],[Out]:[In]])</f>
        <v>99</v>
      </c>
      <c r="W164" s="15">
        <f>IF(Table14513[[#This Row],[Gross]]&gt;0,Table14513[[#This Row],[Gross]]-Table14513[[#This Row],[HCP]],0)</f>
        <v>90</v>
      </c>
      <c r="X164" s="15">
        <f>VLOOKUP(Table14513[[#This Row],[Hole]],'Player Info'!A:C,3,0)</f>
        <v>9</v>
      </c>
      <c r="Y164" s="14" t="s">
        <v>80</v>
      </c>
      <c r="Z164" s="14">
        <v>3</v>
      </c>
      <c r="AA164" s="21">
        <v>174</v>
      </c>
      <c r="AB164" s="21">
        <v>0</v>
      </c>
      <c r="AC164" s="14" t="str">
        <f>VLOOKUP(Table14513[[#This Row],[Hole]],'Player Info'!A:B,2,0)</f>
        <v>Danny</v>
      </c>
      <c r="AF164" s="4"/>
      <c r="AG164" s="4"/>
    </row>
    <row r="165" spans="1:33" ht="12.75" hidden="1" outlineLevel="1" x14ac:dyDescent="0.2">
      <c r="A165" s="19" t="s">
        <v>50</v>
      </c>
      <c r="B165" s="16">
        <v>5</v>
      </c>
      <c r="C165" s="16">
        <v>3</v>
      </c>
      <c r="D165" s="16">
        <v>4</v>
      </c>
      <c r="E165" s="16">
        <v>9</v>
      </c>
      <c r="F165" s="16">
        <v>3</v>
      </c>
      <c r="G165" s="16">
        <v>4</v>
      </c>
      <c r="H165" s="16">
        <v>4</v>
      </c>
      <c r="I165" s="16">
        <v>8</v>
      </c>
      <c r="J165" s="16">
        <v>4</v>
      </c>
      <c r="K165" s="16">
        <v>5</v>
      </c>
      <c r="L165" s="16">
        <v>8</v>
      </c>
      <c r="M165" s="16">
        <v>4</v>
      </c>
      <c r="N165" s="16">
        <v>6</v>
      </c>
      <c r="O165" s="16">
        <v>5</v>
      </c>
      <c r="P165" s="16">
        <v>5</v>
      </c>
      <c r="Q165" s="16">
        <v>5</v>
      </c>
      <c r="R165" s="16">
        <v>3</v>
      </c>
      <c r="S165" s="16">
        <v>5</v>
      </c>
      <c r="T165" s="17">
        <f>SUM(Table14513[[#This Row],[1]:[9]])</f>
        <v>44</v>
      </c>
      <c r="U165" s="17">
        <f>SUM(Table14513[[#This Row],[10]:[18]])</f>
        <v>46</v>
      </c>
      <c r="V165" s="17">
        <f>SUM(Table14513[[#This Row],[Out]:[In]])</f>
        <v>90</v>
      </c>
      <c r="W165" s="15">
        <f>IF(Table14513[[#This Row],[Gross]]&gt;0,Table14513[[#This Row],[Gross]]-Table14513[[#This Row],[HCP]],0)</f>
        <v>80</v>
      </c>
      <c r="X165" s="15">
        <f>VLOOKUP(Table14513[[#This Row],[Hole]],'Player Info'!A:C,3,0)</f>
        <v>10</v>
      </c>
      <c r="Y165" s="16" t="s">
        <v>79</v>
      </c>
      <c r="Z165" s="16">
        <v>0</v>
      </c>
      <c r="AA165" s="21">
        <v>152</v>
      </c>
      <c r="AB165" s="21">
        <v>1</v>
      </c>
      <c r="AC165" s="14" t="str">
        <f>VLOOKUP(Table14513[[#This Row],[Hole]],'Player Info'!A:B,2,0)</f>
        <v>Eric</v>
      </c>
      <c r="AF165" s="4"/>
      <c r="AG165" s="4"/>
    </row>
    <row r="166" spans="1:33" ht="12.75" hidden="1" outlineLevel="1" x14ac:dyDescent="0.2">
      <c r="A166" s="19" t="s">
        <v>45</v>
      </c>
      <c r="B166" s="14">
        <v>5</v>
      </c>
      <c r="C166" s="14">
        <v>5</v>
      </c>
      <c r="D166" s="14">
        <v>10</v>
      </c>
      <c r="E166" s="14">
        <v>4</v>
      </c>
      <c r="F166" s="14">
        <v>3</v>
      </c>
      <c r="G166" s="14">
        <v>5</v>
      </c>
      <c r="H166" s="14">
        <v>5</v>
      </c>
      <c r="I166" s="14">
        <v>5</v>
      </c>
      <c r="J166" s="14">
        <v>7</v>
      </c>
      <c r="K166" s="14">
        <v>4</v>
      </c>
      <c r="L166" s="14">
        <v>5</v>
      </c>
      <c r="M166" s="14">
        <v>4</v>
      </c>
      <c r="N166" s="14">
        <v>4</v>
      </c>
      <c r="O166" s="14">
        <v>3</v>
      </c>
      <c r="P166" s="14">
        <v>4</v>
      </c>
      <c r="Q166" s="14">
        <v>5</v>
      </c>
      <c r="R166" s="14">
        <v>3</v>
      </c>
      <c r="S166" s="14">
        <v>4</v>
      </c>
      <c r="T166" s="15">
        <f>SUM(Table14513[[#This Row],[1]:[9]])</f>
        <v>49</v>
      </c>
      <c r="U166" s="15">
        <f>SUM(Table14513[[#This Row],[10]:[18]])</f>
        <v>36</v>
      </c>
      <c r="V166" s="15">
        <f>SUM(Table14513[[#This Row],[Out]:[In]])</f>
        <v>85</v>
      </c>
      <c r="W166" s="15">
        <f>IF(Table14513[[#This Row],[Gross]]&gt;0,Table14513[[#This Row],[Gross]]-Table14513[[#This Row],[HCP]],0)</f>
        <v>79</v>
      </c>
      <c r="X166" s="15">
        <f>VLOOKUP(Table14513[[#This Row],[Hole]],'Player Info'!A:C,3,0)</f>
        <v>6</v>
      </c>
      <c r="Y166" s="14" t="s">
        <v>80</v>
      </c>
      <c r="Z166" s="14">
        <v>0</v>
      </c>
      <c r="AA166" s="21"/>
      <c r="AB166" s="21">
        <v>1</v>
      </c>
      <c r="AC166" s="14" t="str">
        <f>VLOOKUP(Table14513[[#This Row],[Hole]],'Player Info'!A:B,2,0)</f>
        <v>Matt</v>
      </c>
      <c r="AF166" s="4"/>
      <c r="AG166" s="4"/>
    </row>
    <row r="167" spans="1:33" ht="12.75" hidden="1" outlineLevel="1" x14ac:dyDescent="0.2">
      <c r="A167" s="19" t="s">
        <v>48</v>
      </c>
      <c r="B167" s="71">
        <v>6</v>
      </c>
      <c r="C167" s="14">
        <v>6</v>
      </c>
      <c r="D167" s="14">
        <v>6</v>
      </c>
      <c r="E167" s="14">
        <v>4</v>
      </c>
      <c r="F167" s="14">
        <v>7</v>
      </c>
      <c r="G167" s="71">
        <v>5</v>
      </c>
      <c r="H167" s="71">
        <v>4</v>
      </c>
      <c r="I167" s="14">
        <v>8</v>
      </c>
      <c r="J167" s="14">
        <v>4</v>
      </c>
      <c r="K167" s="14">
        <v>6</v>
      </c>
      <c r="L167" s="71">
        <v>8</v>
      </c>
      <c r="M167" s="14">
        <v>4</v>
      </c>
      <c r="N167" s="14">
        <v>4</v>
      </c>
      <c r="O167" s="14">
        <v>5</v>
      </c>
      <c r="P167" s="14">
        <v>6</v>
      </c>
      <c r="Q167" s="71">
        <v>6</v>
      </c>
      <c r="R167" s="14">
        <v>4</v>
      </c>
      <c r="S167" s="71">
        <v>7</v>
      </c>
      <c r="T167" s="15">
        <f>SUM(Table14513[[#This Row],[1]:[9]])</f>
        <v>50</v>
      </c>
      <c r="U167" s="15">
        <f>SUM(Table14513[[#This Row],[10]:[18]])</f>
        <v>50</v>
      </c>
      <c r="V167" s="15">
        <f>SUM(Table14513[[#This Row],[Out]:[In]])</f>
        <v>100</v>
      </c>
      <c r="W167" s="15">
        <f>IF(Table14513[[#This Row],[Gross]]&gt;0,Table14513[[#This Row],[Gross]]-Table14513[[#This Row],[HCP]],0)</f>
        <v>84</v>
      </c>
      <c r="X167" s="15">
        <f>VLOOKUP(Table14513[[#This Row],[Hole]],'Player Info'!A:C,3,0)</f>
        <v>16</v>
      </c>
      <c r="Y167" s="14" t="s">
        <v>79</v>
      </c>
      <c r="Z167" s="14">
        <v>6</v>
      </c>
      <c r="AA167" s="21"/>
      <c r="AB167" s="21">
        <v>0</v>
      </c>
      <c r="AC167" s="14" t="str">
        <f>VLOOKUP(Table14513[[#This Row],[Hole]],'Player Info'!A:B,2,0)</f>
        <v>Matt</v>
      </c>
      <c r="AF167" s="4"/>
      <c r="AG167" s="4"/>
    </row>
    <row r="168" spans="1:33" ht="12.75" hidden="1" outlineLevel="1" x14ac:dyDescent="0.2">
      <c r="A168" s="19" t="s">
        <v>49</v>
      </c>
      <c r="B168" s="14">
        <v>5</v>
      </c>
      <c r="C168" s="14">
        <v>4</v>
      </c>
      <c r="D168" s="14">
        <v>7</v>
      </c>
      <c r="E168" s="14">
        <v>4</v>
      </c>
      <c r="F168" s="14">
        <v>3</v>
      </c>
      <c r="G168" s="14">
        <v>4</v>
      </c>
      <c r="H168" s="14">
        <v>4</v>
      </c>
      <c r="I168" s="14">
        <v>6</v>
      </c>
      <c r="J168" s="14">
        <v>5</v>
      </c>
      <c r="K168" s="14">
        <v>5</v>
      </c>
      <c r="L168" s="14">
        <v>6</v>
      </c>
      <c r="M168" s="14">
        <v>4</v>
      </c>
      <c r="N168" s="14">
        <v>4</v>
      </c>
      <c r="O168" s="14">
        <v>4</v>
      </c>
      <c r="P168" s="14">
        <v>6</v>
      </c>
      <c r="Q168" s="14">
        <v>4</v>
      </c>
      <c r="R168" s="14">
        <v>5</v>
      </c>
      <c r="S168" s="14">
        <v>5</v>
      </c>
      <c r="T168" s="15">
        <f>SUM(Table14513[[#This Row],[1]:[9]])</f>
        <v>42</v>
      </c>
      <c r="U168" s="15">
        <f>SUM(Table14513[[#This Row],[10]:[18]])</f>
        <v>43</v>
      </c>
      <c r="V168" s="15">
        <f>SUM(Table14513[[#This Row],[Out]:[In]])</f>
        <v>85</v>
      </c>
      <c r="W168" s="15">
        <f>IF(Table14513[[#This Row],[Gross]]&gt;0,Table14513[[#This Row],[Gross]]-Table14513[[#This Row],[HCP]],0)</f>
        <v>82</v>
      </c>
      <c r="X168" s="15">
        <f>VLOOKUP(Table14513[[#This Row],[Hole]],'Player Info'!A:C,3,0)</f>
        <v>3</v>
      </c>
      <c r="Y168" s="14" t="s">
        <v>82</v>
      </c>
      <c r="Z168" s="14">
        <v>0</v>
      </c>
      <c r="AA168" s="21"/>
      <c r="AB168" s="21">
        <v>0</v>
      </c>
      <c r="AC168" s="14" t="str">
        <f>VLOOKUP(Table14513[[#This Row],[Hole]],'Player Info'!A:B,2,0)</f>
        <v>Matt</v>
      </c>
      <c r="AF168" s="4"/>
      <c r="AG168" s="4"/>
    </row>
    <row r="169" spans="1:33" ht="12.75" hidden="1" outlineLevel="1" x14ac:dyDescent="0.2">
      <c r="A169" s="19" t="s">
        <v>51</v>
      </c>
      <c r="B169" s="14">
        <v>6</v>
      </c>
      <c r="C169" s="14">
        <v>4</v>
      </c>
      <c r="D169" s="14">
        <v>6</v>
      </c>
      <c r="E169" s="14">
        <v>7</v>
      </c>
      <c r="F169" s="14">
        <v>4</v>
      </c>
      <c r="G169" s="14">
        <v>10</v>
      </c>
      <c r="H169" s="14">
        <v>7</v>
      </c>
      <c r="I169" s="14">
        <v>6</v>
      </c>
      <c r="J169" s="14">
        <v>6</v>
      </c>
      <c r="K169" s="14">
        <v>10</v>
      </c>
      <c r="L169" s="14">
        <v>5</v>
      </c>
      <c r="M169" s="14">
        <v>4</v>
      </c>
      <c r="N169" s="14">
        <v>6</v>
      </c>
      <c r="O169" s="14">
        <v>4</v>
      </c>
      <c r="P169" s="14">
        <v>6</v>
      </c>
      <c r="Q169" s="14">
        <v>8</v>
      </c>
      <c r="R169" s="14">
        <v>4</v>
      </c>
      <c r="S169" s="14">
        <v>4</v>
      </c>
      <c r="T169" s="15">
        <f>SUM(Table14513[[#This Row],[1]:[9]])</f>
        <v>56</v>
      </c>
      <c r="U169" s="15">
        <f>SUM(Table14513[[#This Row],[10]:[18]])</f>
        <v>51</v>
      </c>
      <c r="V169" s="15">
        <f>SUM(Table14513[[#This Row],[Out]:[In]])</f>
        <v>107</v>
      </c>
      <c r="W169" s="15">
        <f>IF(Table14513[[#This Row],[Gross]]&gt;0,Table14513[[#This Row],[Gross]]-Table14513[[#This Row],[HCP]],0)</f>
        <v>93</v>
      </c>
      <c r="X169" s="15">
        <f>VLOOKUP(Table14513[[#This Row],[Hole]],'Player Info'!A:C,3,0)</f>
        <v>14</v>
      </c>
      <c r="Y169" s="14" t="s">
        <v>78</v>
      </c>
      <c r="Z169" s="14">
        <v>0</v>
      </c>
      <c r="AA169" s="21"/>
      <c r="AB169" s="21">
        <v>0</v>
      </c>
      <c r="AC169" s="14" t="str">
        <f>VLOOKUP(Table14513[[#This Row],[Hole]],'Player Info'!A:B,2,0)</f>
        <v>Eric</v>
      </c>
      <c r="AF169" s="4"/>
      <c r="AG169" s="4"/>
    </row>
    <row r="170" spans="1:33" collapsed="1" x14ac:dyDescent="0.25"/>
    <row r="171" spans="1:33" x14ac:dyDescent="0.25">
      <c r="A171" s="78" t="s">
        <v>90</v>
      </c>
      <c r="B171" s="79"/>
      <c r="C171" s="79"/>
      <c r="D171" s="79"/>
      <c r="E171" s="79"/>
      <c r="F171" s="79"/>
      <c r="G171" s="79"/>
      <c r="H171" s="79"/>
      <c r="I171" s="79"/>
      <c r="J171" s="79"/>
      <c r="K171" s="79"/>
      <c r="L171" s="79"/>
      <c r="M171" s="79"/>
      <c r="N171" s="79"/>
      <c r="O171" s="79"/>
      <c r="P171" s="79"/>
      <c r="Q171" s="79"/>
      <c r="R171" s="79"/>
      <c r="S171" s="79"/>
      <c r="T171" s="79"/>
      <c r="U171" s="79"/>
      <c r="V171" s="79"/>
      <c r="W171" s="79"/>
      <c r="X171" s="79"/>
      <c r="Y171" s="80"/>
      <c r="Z171" s="79"/>
      <c r="AA171" s="78"/>
      <c r="AB171" s="81"/>
      <c r="AC171" s="81"/>
    </row>
    <row r="172" spans="1:33" ht="12.75" hidden="1" outlineLevel="1" x14ac:dyDescent="0.2">
      <c r="A172" s="1" t="s">
        <v>0</v>
      </c>
      <c r="B172" s="2" t="s">
        <v>42</v>
      </c>
      <c r="Y172" s="3"/>
      <c r="AA172" s="3"/>
      <c r="AB172" s="3"/>
      <c r="AC172" s="3"/>
      <c r="AF172" s="4"/>
      <c r="AG172" s="4"/>
    </row>
    <row r="173" spans="1:33" ht="12.75" hidden="1" outlineLevel="1" x14ac:dyDescent="0.2">
      <c r="A173" s="5" t="s">
        <v>142</v>
      </c>
      <c r="B173" s="6">
        <v>381</v>
      </c>
      <c r="C173" s="6">
        <v>516</v>
      </c>
      <c r="D173" s="6">
        <v>350</v>
      </c>
      <c r="E173" s="6">
        <v>512</v>
      </c>
      <c r="F173" s="6">
        <v>188</v>
      </c>
      <c r="G173" s="6">
        <v>445</v>
      </c>
      <c r="H173" s="6">
        <v>162</v>
      </c>
      <c r="I173" s="6">
        <v>391</v>
      </c>
      <c r="J173" s="6">
        <v>347</v>
      </c>
      <c r="K173" s="6">
        <v>370</v>
      </c>
      <c r="L173" s="6">
        <v>379</v>
      </c>
      <c r="M173" s="6">
        <v>561</v>
      </c>
      <c r="N173" s="6">
        <v>346</v>
      </c>
      <c r="O173" s="6">
        <v>428</v>
      </c>
      <c r="P173" s="6">
        <v>178</v>
      </c>
      <c r="Q173" s="6">
        <v>455</v>
      </c>
      <c r="R173" s="6">
        <v>198</v>
      </c>
      <c r="S173" s="6">
        <v>414</v>
      </c>
      <c r="T173" s="6">
        <f>SUM(B173:J173)</f>
        <v>3292</v>
      </c>
      <c r="U173" s="6">
        <f>SUM(K173:S173)</f>
        <v>3329</v>
      </c>
      <c r="V173" s="6">
        <f>SUM(T173:U173)</f>
        <v>6621</v>
      </c>
      <c r="W173" s="7"/>
      <c r="X173" s="7"/>
      <c r="Y173" s="7"/>
      <c r="Z173" s="7"/>
      <c r="AA173" s="7"/>
      <c r="AB173" s="7"/>
      <c r="AC173" s="7"/>
      <c r="AF173" s="4"/>
      <c r="AG173" s="4"/>
    </row>
    <row r="174" spans="1:33" ht="12.75" hidden="1" outlineLevel="1" x14ac:dyDescent="0.2">
      <c r="A174" s="8" t="s">
        <v>3</v>
      </c>
      <c r="B174" s="9">
        <v>13</v>
      </c>
      <c r="C174" s="9">
        <v>1</v>
      </c>
      <c r="D174" s="9">
        <v>11</v>
      </c>
      <c r="E174" s="9">
        <v>5</v>
      </c>
      <c r="F174" s="9">
        <v>15</v>
      </c>
      <c r="G174" s="9">
        <v>3</v>
      </c>
      <c r="H174" s="9">
        <v>17</v>
      </c>
      <c r="I174" s="9">
        <v>9</v>
      </c>
      <c r="J174" s="9">
        <v>7</v>
      </c>
      <c r="K174" s="9">
        <v>18</v>
      </c>
      <c r="L174" s="9">
        <v>2</v>
      </c>
      <c r="M174" s="9">
        <v>12</v>
      </c>
      <c r="N174" s="9">
        <v>10</v>
      </c>
      <c r="O174" s="9">
        <v>6</v>
      </c>
      <c r="P174" s="9">
        <v>14</v>
      </c>
      <c r="Q174" s="9">
        <v>4</v>
      </c>
      <c r="R174" s="9">
        <v>16</v>
      </c>
      <c r="S174" s="9">
        <v>8</v>
      </c>
      <c r="T174" s="7"/>
      <c r="U174" s="7"/>
      <c r="V174" s="7"/>
      <c r="W174" s="7"/>
      <c r="X174" s="7"/>
      <c r="Y174" s="7"/>
      <c r="Z174" s="7"/>
      <c r="AA174" s="7"/>
      <c r="AB174" s="7"/>
      <c r="AC174" s="7"/>
      <c r="AF174" s="4"/>
      <c r="AG174" s="4"/>
    </row>
    <row r="175" spans="1:33" ht="12.75" hidden="1" outlineLevel="1" x14ac:dyDescent="0.2">
      <c r="A175" s="10" t="s">
        <v>8</v>
      </c>
      <c r="B175" s="11">
        <v>3</v>
      </c>
      <c r="C175" s="11">
        <v>4</v>
      </c>
      <c r="D175" s="11">
        <v>3</v>
      </c>
      <c r="E175" s="11">
        <v>4</v>
      </c>
      <c r="F175" s="11">
        <v>5</v>
      </c>
      <c r="G175" s="11">
        <v>3</v>
      </c>
      <c r="H175" s="11">
        <v>5</v>
      </c>
      <c r="I175" s="11">
        <v>3</v>
      </c>
      <c r="J175" s="11">
        <v>3</v>
      </c>
      <c r="K175" s="11">
        <v>4</v>
      </c>
      <c r="L175" s="11">
        <v>4</v>
      </c>
      <c r="M175" s="11">
        <v>5</v>
      </c>
      <c r="N175" s="11">
        <v>4</v>
      </c>
      <c r="O175" s="11">
        <v>4</v>
      </c>
      <c r="P175" s="11">
        <v>3</v>
      </c>
      <c r="Q175" s="11">
        <v>5</v>
      </c>
      <c r="R175" s="11">
        <v>3</v>
      </c>
      <c r="S175" s="11">
        <v>4</v>
      </c>
      <c r="T175" s="11">
        <v>36</v>
      </c>
      <c r="U175" s="11">
        <v>36</v>
      </c>
      <c r="V175" s="11">
        <v>72</v>
      </c>
      <c r="W175" s="7"/>
      <c r="X175" s="7"/>
      <c r="Y175" s="7"/>
      <c r="Z175" s="7"/>
      <c r="AA175" s="7"/>
      <c r="AB175" s="7"/>
      <c r="AC175" s="7"/>
      <c r="AF175" s="4"/>
      <c r="AG175" s="4"/>
    </row>
    <row r="176" spans="1:33" ht="12.75" hidden="1" outlineLevel="1" x14ac:dyDescent="0.2">
      <c r="A176" s="12" t="s">
        <v>1</v>
      </c>
      <c r="B176" s="13" t="s">
        <v>19</v>
      </c>
      <c r="C176" s="13" t="s">
        <v>20</v>
      </c>
      <c r="D176" s="13" t="s">
        <v>18</v>
      </c>
      <c r="E176" s="13" t="s">
        <v>16</v>
      </c>
      <c r="F176" s="13" t="s">
        <v>17</v>
      </c>
      <c r="G176" s="13" t="s">
        <v>21</v>
      </c>
      <c r="H176" s="13" t="s">
        <v>22</v>
      </c>
      <c r="I176" s="13" t="s">
        <v>23</v>
      </c>
      <c r="J176" s="13" t="s">
        <v>24</v>
      </c>
      <c r="K176" s="13" t="s">
        <v>25</v>
      </c>
      <c r="L176" s="13" t="s">
        <v>26</v>
      </c>
      <c r="M176" s="13" t="s">
        <v>27</v>
      </c>
      <c r="N176" s="13" t="s">
        <v>28</v>
      </c>
      <c r="O176" s="13" t="s">
        <v>29</v>
      </c>
      <c r="P176" s="13" t="s">
        <v>30</v>
      </c>
      <c r="Q176" s="13" t="s">
        <v>31</v>
      </c>
      <c r="R176" s="13" t="s">
        <v>32</v>
      </c>
      <c r="S176" s="13" t="s">
        <v>33</v>
      </c>
      <c r="T176" s="13" t="s">
        <v>5</v>
      </c>
      <c r="U176" s="13" t="s">
        <v>4</v>
      </c>
      <c r="V176" s="13" t="s">
        <v>34</v>
      </c>
      <c r="W176" s="13" t="s">
        <v>7</v>
      </c>
      <c r="X176" s="13" t="s">
        <v>6</v>
      </c>
      <c r="Y176" s="13" t="s">
        <v>35</v>
      </c>
      <c r="Z176" s="13" t="s">
        <v>81</v>
      </c>
      <c r="AA176" s="13" t="s">
        <v>144</v>
      </c>
      <c r="AB176" s="13" t="s">
        <v>38</v>
      </c>
      <c r="AC176" s="13" t="s">
        <v>11</v>
      </c>
      <c r="AF176" s="4"/>
      <c r="AG176" s="4"/>
    </row>
    <row r="177" spans="1:33" ht="12.75" hidden="1" outlineLevel="1" x14ac:dyDescent="0.2">
      <c r="A177" s="19" t="s">
        <v>50</v>
      </c>
      <c r="B177" s="14">
        <v>6</v>
      </c>
      <c r="C177" s="71">
        <v>7</v>
      </c>
      <c r="D177" s="14">
        <v>6</v>
      </c>
      <c r="E177" s="71">
        <v>8</v>
      </c>
      <c r="F177" s="14">
        <v>4</v>
      </c>
      <c r="G177" s="71">
        <v>6</v>
      </c>
      <c r="H177" s="14">
        <v>4</v>
      </c>
      <c r="I177" s="71">
        <v>5</v>
      </c>
      <c r="J177" s="71">
        <v>6</v>
      </c>
      <c r="K177" s="14">
        <v>4</v>
      </c>
      <c r="L177" s="71">
        <v>5</v>
      </c>
      <c r="M177" s="122">
        <v>10</v>
      </c>
      <c r="N177" s="123">
        <v>8</v>
      </c>
      <c r="O177" s="123">
        <v>6</v>
      </c>
      <c r="P177" s="14">
        <v>5</v>
      </c>
      <c r="Q177" s="71">
        <v>7</v>
      </c>
      <c r="R177" s="14">
        <v>5</v>
      </c>
      <c r="S177" s="71">
        <v>4</v>
      </c>
      <c r="T177" s="15">
        <f>SUM(Table145814[[#This Row],[1]:[9]])</f>
        <v>52</v>
      </c>
      <c r="U177" s="15">
        <f>SUM(Table145814[[#This Row],[10]:[18]])</f>
        <v>54</v>
      </c>
      <c r="V177" s="15">
        <f>SUM(Table145814[[#This Row],[Out]:[In]])</f>
        <v>106</v>
      </c>
      <c r="W177" s="15">
        <f>IF(Table145814[[#This Row],[Gross]]&gt;0,Table145814[[#This Row],[Gross]]-Table145814[[#This Row],[HCP]],0)</f>
        <v>96</v>
      </c>
      <c r="X177" s="15">
        <f>VLOOKUP(Table145814[[#This Row],[Player]],'Player Info'!A:C,3,0)</f>
        <v>10</v>
      </c>
      <c r="Y177" s="14" t="s">
        <v>80</v>
      </c>
      <c r="Z177" s="14" t="s">
        <v>92</v>
      </c>
      <c r="AA177" s="21"/>
      <c r="AB177" s="21"/>
      <c r="AC177" s="14" t="str">
        <f>VLOOKUP(Table145814[[#This Row],[Player]],'Player Info'!A:B,2,0)</f>
        <v>Eric</v>
      </c>
      <c r="AF177" s="4"/>
      <c r="AG177" s="4"/>
    </row>
    <row r="178" spans="1:33" ht="12.75" hidden="1" outlineLevel="1" x14ac:dyDescent="0.2">
      <c r="A178" s="19" t="s">
        <v>45</v>
      </c>
      <c r="B178" s="14">
        <v>4</v>
      </c>
      <c r="C178" s="71">
        <v>5</v>
      </c>
      <c r="D178" s="14">
        <v>6</v>
      </c>
      <c r="E178" s="71">
        <v>5</v>
      </c>
      <c r="F178" s="14">
        <v>5</v>
      </c>
      <c r="G178" s="71">
        <v>6</v>
      </c>
      <c r="H178" s="14">
        <v>5</v>
      </c>
      <c r="I178" s="14">
        <v>4</v>
      </c>
      <c r="J178" s="14">
        <v>6</v>
      </c>
      <c r="K178" s="14">
        <v>5</v>
      </c>
      <c r="L178" s="71">
        <v>5</v>
      </c>
      <c r="M178" s="14">
        <v>4</v>
      </c>
      <c r="N178" s="14">
        <v>4</v>
      </c>
      <c r="O178" s="71">
        <v>4</v>
      </c>
      <c r="P178" s="14">
        <v>3</v>
      </c>
      <c r="Q178" s="71">
        <v>5</v>
      </c>
      <c r="R178" s="14">
        <v>5</v>
      </c>
      <c r="S178" s="14">
        <v>5</v>
      </c>
      <c r="T178" s="15">
        <f>SUM(Table145814[[#This Row],[1]:[9]])</f>
        <v>46</v>
      </c>
      <c r="U178" s="15">
        <f>SUM(Table145814[[#This Row],[10]:[18]])</f>
        <v>40</v>
      </c>
      <c r="V178" s="15">
        <f>SUM(Table145814[[#This Row],[Out]:[In]])</f>
        <v>86</v>
      </c>
      <c r="W178" s="15">
        <f>IF(Table145814[[#This Row],[Gross]]&gt;0,Table145814[[#This Row],[Gross]]-Table145814[[#This Row],[HCP]],0)</f>
        <v>80</v>
      </c>
      <c r="X178" s="15">
        <f>VLOOKUP(Table145814[[#This Row],[Player]],'Player Info'!A:C,3,0)</f>
        <v>6</v>
      </c>
      <c r="Y178" s="14" t="s">
        <v>80</v>
      </c>
      <c r="Z178" s="14" t="s">
        <v>92</v>
      </c>
      <c r="AA178" s="21"/>
      <c r="AB178" s="21"/>
      <c r="AC178" s="14" t="str">
        <f>VLOOKUP(Table145814[[#This Row],[Player]],'Player Info'!A:B,2,0)</f>
        <v>Matt</v>
      </c>
      <c r="AF178" s="4"/>
      <c r="AG178" s="4"/>
    </row>
    <row r="179" spans="1:33" ht="12.75" hidden="1" outlineLevel="1" x14ac:dyDescent="0.2">
      <c r="A179" s="19" t="s">
        <v>47</v>
      </c>
      <c r="B179" s="14">
        <v>4</v>
      </c>
      <c r="C179" s="71">
        <v>6</v>
      </c>
      <c r="D179" s="14">
        <v>5</v>
      </c>
      <c r="E179" s="71">
        <v>5</v>
      </c>
      <c r="F179" s="14">
        <v>4</v>
      </c>
      <c r="G179" s="71">
        <v>4</v>
      </c>
      <c r="H179" s="14">
        <v>3</v>
      </c>
      <c r="I179" s="71">
        <v>4</v>
      </c>
      <c r="J179" s="71">
        <v>6</v>
      </c>
      <c r="K179" s="14">
        <v>4</v>
      </c>
      <c r="L179" s="71">
        <v>4</v>
      </c>
      <c r="M179" s="122">
        <v>5</v>
      </c>
      <c r="N179" s="123">
        <v>6</v>
      </c>
      <c r="O179" s="123">
        <v>5</v>
      </c>
      <c r="P179" s="14">
        <v>5</v>
      </c>
      <c r="Q179" s="71">
        <v>6</v>
      </c>
      <c r="R179" s="14">
        <v>5</v>
      </c>
      <c r="S179" s="71">
        <v>4</v>
      </c>
      <c r="T179" s="15">
        <f>SUM(Table145814[[#This Row],[1]:[9]])</f>
        <v>41</v>
      </c>
      <c r="U179" s="15">
        <f>SUM(Table145814[[#This Row],[10]:[18]])</f>
        <v>44</v>
      </c>
      <c r="V179" s="15">
        <f>SUM(Table145814[[#This Row],[Out]:[In]])</f>
        <v>85</v>
      </c>
      <c r="W179" s="15">
        <f>IF(Table145814[[#This Row],[Gross]]&gt;0,Table145814[[#This Row],[Gross]]-Table145814[[#This Row],[HCP]],0)</f>
        <v>75</v>
      </c>
      <c r="X179" s="15">
        <f>VLOOKUP(Table145814[[#This Row],[Player]],'Player Info'!A:C,3,0)</f>
        <v>10</v>
      </c>
      <c r="Y179" s="14" t="s">
        <v>80</v>
      </c>
      <c r="Z179" s="14" t="s">
        <v>92</v>
      </c>
      <c r="AA179" s="21"/>
      <c r="AB179" s="21"/>
      <c r="AC179" s="14" t="str">
        <f>VLOOKUP(Table145814[[#This Row],[Player]],'Player Info'!A:B,2,0)</f>
        <v>Danny</v>
      </c>
      <c r="AF179" s="4"/>
      <c r="AG179" s="4"/>
    </row>
    <row r="180" spans="1:33" ht="12.75" hidden="1" outlineLevel="1" x14ac:dyDescent="0.2">
      <c r="A180" s="19" t="s">
        <v>49</v>
      </c>
      <c r="B180" s="14">
        <v>5</v>
      </c>
      <c r="C180" s="71">
        <v>6</v>
      </c>
      <c r="D180" s="14">
        <v>4</v>
      </c>
      <c r="E180" s="14">
        <v>5</v>
      </c>
      <c r="F180" s="14">
        <v>4</v>
      </c>
      <c r="G180" s="71">
        <v>4</v>
      </c>
      <c r="H180" s="14">
        <v>3</v>
      </c>
      <c r="I180" s="14">
        <v>4</v>
      </c>
      <c r="J180" s="14">
        <v>5</v>
      </c>
      <c r="K180" s="14">
        <v>6</v>
      </c>
      <c r="L180" s="71">
        <v>7</v>
      </c>
      <c r="M180" s="14">
        <v>5</v>
      </c>
      <c r="N180" s="14">
        <v>4</v>
      </c>
      <c r="O180" s="14">
        <v>4</v>
      </c>
      <c r="P180" s="14">
        <v>3</v>
      </c>
      <c r="Q180" s="14">
        <v>4</v>
      </c>
      <c r="R180" s="14">
        <v>3</v>
      </c>
      <c r="S180" s="14">
        <v>5</v>
      </c>
      <c r="T180" s="15">
        <f>SUM(Table145814[[#This Row],[1]:[9]])</f>
        <v>40</v>
      </c>
      <c r="U180" s="15">
        <f>SUM(Table145814[[#This Row],[10]:[18]])</f>
        <v>41</v>
      </c>
      <c r="V180" s="15">
        <f>SUM(Table145814[[#This Row],[Out]:[In]])</f>
        <v>81</v>
      </c>
      <c r="W180" s="15">
        <f>IF(Table145814[[#This Row],[Gross]]&gt;0,Table145814[[#This Row],[Gross]]-Table145814[[#This Row],[HCP]],0)</f>
        <v>78</v>
      </c>
      <c r="X180" s="15">
        <f>VLOOKUP(Table145814[[#This Row],[Player]],'Player Info'!A:C,3,0)</f>
        <v>3</v>
      </c>
      <c r="Y180" s="14" t="s">
        <v>79</v>
      </c>
      <c r="Z180" s="14" t="s">
        <v>92</v>
      </c>
      <c r="AA180" s="21"/>
      <c r="AB180" s="21"/>
      <c r="AC180" s="14" t="str">
        <f>VLOOKUP(Table145814[[#This Row],[Player]],'Player Info'!A:B,2,0)</f>
        <v>Matt</v>
      </c>
      <c r="AF180" s="4"/>
      <c r="AG180" s="4"/>
    </row>
    <row r="181" spans="1:33" ht="12.75" hidden="1" outlineLevel="1" x14ac:dyDescent="0.2">
      <c r="A181" s="19" t="s">
        <v>54</v>
      </c>
      <c r="B181" s="71">
        <v>8</v>
      </c>
      <c r="C181" s="71">
        <v>7</v>
      </c>
      <c r="D181" s="71">
        <v>4</v>
      </c>
      <c r="E181" s="71">
        <v>7</v>
      </c>
      <c r="F181" s="71">
        <v>4</v>
      </c>
      <c r="G181" s="71">
        <v>8</v>
      </c>
      <c r="H181" s="14">
        <v>3</v>
      </c>
      <c r="I181" s="71">
        <v>5</v>
      </c>
      <c r="J181" s="71">
        <v>4</v>
      </c>
      <c r="K181" s="14">
        <v>5</v>
      </c>
      <c r="L181" s="71">
        <v>7</v>
      </c>
      <c r="M181" s="123">
        <v>8</v>
      </c>
      <c r="N181" s="123">
        <v>5</v>
      </c>
      <c r="O181" s="123">
        <v>4</v>
      </c>
      <c r="P181" s="71">
        <v>5</v>
      </c>
      <c r="Q181" s="71">
        <v>4</v>
      </c>
      <c r="R181" s="14">
        <v>5</v>
      </c>
      <c r="S181" s="71">
        <v>9</v>
      </c>
      <c r="T181" s="15">
        <f>SUM(Table145814[[#This Row],[1]:[9]])</f>
        <v>50</v>
      </c>
      <c r="U181" s="15">
        <f>SUM(Table145814[[#This Row],[10]:[18]])</f>
        <v>52</v>
      </c>
      <c r="V181" s="15">
        <f>SUM(Table145814[[#This Row],[Out]:[In]])</f>
        <v>102</v>
      </c>
      <c r="W181" s="15">
        <f>IF(Table145814[[#This Row],[Gross]]&gt;0,Table145814[[#This Row],[Gross]]-Table145814[[#This Row],[HCP]],0)</f>
        <v>87</v>
      </c>
      <c r="X181" s="15">
        <f>VLOOKUP(Table145814[[#This Row],[Player]],'Player Info'!A:C,3,0)</f>
        <v>15</v>
      </c>
      <c r="Y181" s="14" t="s">
        <v>80</v>
      </c>
      <c r="Z181" s="14" t="s">
        <v>92</v>
      </c>
      <c r="AA181" s="21"/>
      <c r="AB181" s="21"/>
      <c r="AC181" s="14" t="str">
        <f>VLOOKUP(Table145814[[#This Row],[Player]],'Player Info'!A:B,2,0)</f>
        <v>Danny</v>
      </c>
      <c r="AF181" s="4"/>
      <c r="AG181" s="4"/>
    </row>
    <row r="182" spans="1:33" ht="12.75" hidden="1" outlineLevel="1" x14ac:dyDescent="0.2">
      <c r="A182" s="19" t="s">
        <v>52</v>
      </c>
      <c r="B182" s="71">
        <v>7</v>
      </c>
      <c r="C182" s="71">
        <v>7</v>
      </c>
      <c r="D182" s="71">
        <v>7</v>
      </c>
      <c r="E182" s="71">
        <v>7</v>
      </c>
      <c r="F182" s="71">
        <v>10</v>
      </c>
      <c r="G182" s="71">
        <v>10</v>
      </c>
      <c r="H182" s="14">
        <v>3</v>
      </c>
      <c r="I182" s="71">
        <v>10</v>
      </c>
      <c r="J182" s="71">
        <v>10</v>
      </c>
      <c r="K182" s="14">
        <v>10</v>
      </c>
      <c r="L182" s="71">
        <v>10</v>
      </c>
      <c r="M182" s="123">
        <v>10</v>
      </c>
      <c r="N182" s="123">
        <v>10</v>
      </c>
      <c r="O182" s="123">
        <v>10</v>
      </c>
      <c r="P182" s="71">
        <v>10</v>
      </c>
      <c r="Q182" s="71">
        <v>10</v>
      </c>
      <c r="R182" s="71">
        <v>10</v>
      </c>
      <c r="S182" s="71">
        <v>10</v>
      </c>
      <c r="T182" s="15">
        <f>SUM(Table145814[[#This Row],[1]:[9]])</f>
        <v>71</v>
      </c>
      <c r="U182" s="15">
        <f>SUM(Table145814[[#This Row],[10]:[18]])</f>
        <v>90</v>
      </c>
      <c r="V182" s="15">
        <f>SUM(Table145814[[#This Row],[Out]:[In]])</f>
        <v>161</v>
      </c>
      <c r="W182" s="15">
        <f>IF(Table145814[[#This Row],[Gross]]&gt;0,Table145814[[#This Row],[Gross]]-Table145814[[#This Row],[HCP]],0)</f>
        <v>145</v>
      </c>
      <c r="X182" s="15">
        <f>VLOOKUP(Table145814[[#This Row],[Player]],'Player Info'!A:C,3,0)</f>
        <v>16</v>
      </c>
      <c r="Y182" s="14" t="s">
        <v>79</v>
      </c>
      <c r="Z182" s="14" t="s">
        <v>92</v>
      </c>
      <c r="AA182" s="21"/>
      <c r="AB182" s="21"/>
      <c r="AC182" s="14" t="str">
        <f>VLOOKUP(Table145814[[#This Row],[Player]],'Player Info'!A:B,2,0)</f>
        <v>Matt</v>
      </c>
      <c r="AF182" s="4"/>
      <c r="AG182" s="4"/>
    </row>
    <row r="183" spans="1:33" ht="12.75" hidden="1" outlineLevel="1" x14ac:dyDescent="0.2">
      <c r="A183" s="19" t="s">
        <v>48</v>
      </c>
      <c r="B183" s="71">
        <v>5</v>
      </c>
      <c r="C183" s="71">
        <v>8</v>
      </c>
      <c r="D183" s="71">
        <v>5</v>
      </c>
      <c r="E183" s="71">
        <v>6</v>
      </c>
      <c r="F183" s="71">
        <v>6</v>
      </c>
      <c r="G183" s="71">
        <v>6</v>
      </c>
      <c r="H183" s="14">
        <v>3</v>
      </c>
      <c r="I183" s="71">
        <v>5</v>
      </c>
      <c r="J183" s="71">
        <v>7</v>
      </c>
      <c r="K183" s="14">
        <v>5</v>
      </c>
      <c r="L183" s="71">
        <v>6</v>
      </c>
      <c r="M183" s="71">
        <v>5</v>
      </c>
      <c r="N183" s="71">
        <v>7</v>
      </c>
      <c r="O183" s="71">
        <v>6</v>
      </c>
      <c r="P183" s="71">
        <v>3</v>
      </c>
      <c r="Q183" s="71">
        <v>5</v>
      </c>
      <c r="R183" s="71">
        <v>5</v>
      </c>
      <c r="S183" s="71">
        <v>7</v>
      </c>
      <c r="T183" s="15">
        <f>SUM(Table145814[[#This Row],[1]:[9]])</f>
        <v>51</v>
      </c>
      <c r="U183" s="15">
        <f>SUM(Table145814[[#This Row],[10]:[18]])</f>
        <v>49</v>
      </c>
      <c r="V183" s="15">
        <f>SUM(Table145814[[#This Row],[Out]:[In]])</f>
        <v>100</v>
      </c>
      <c r="W183" s="15">
        <f>IF(Table145814[[#This Row],[Gross]]&gt;0,Table145814[[#This Row],[Gross]]-Table145814[[#This Row],[HCP]],0)</f>
        <v>84</v>
      </c>
      <c r="X183" s="15">
        <f>VLOOKUP(Table145814[[#This Row],[Player]],'Player Info'!A:C,3,0)</f>
        <v>16</v>
      </c>
      <c r="Y183" s="14" t="s">
        <v>79</v>
      </c>
      <c r="Z183" s="14" t="s">
        <v>92</v>
      </c>
      <c r="AA183" s="21"/>
      <c r="AB183" s="21"/>
      <c r="AC183" s="14" t="str">
        <f>VLOOKUP(Table145814[[#This Row],[Player]],'Player Info'!A:B,2,0)</f>
        <v>Matt</v>
      </c>
      <c r="AF183" s="4"/>
      <c r="AG183" s="4"/>
    </row>
    <row r="184" spans="1:33" ht="12.75" hidden="1" outlineLevel="1" x14ac:dyDescent="0.2">
      <c r="A184" s="19" t="s">
        <v>14</v>
      </c>
      <c r="B184" s="14">
        <v>4</v>
      </c>
      <c r="C184" s="71">
        <v>5</v>
      </c>
      <c r="D184" s="14">
        <v>5</v>
      </c>
      <c r="E184" s="71">
        <v>7</v>
      </c>
      <c r="F184" s="14">
        <v>4</v>
      </c>
      <c r="G184" s="71">
        <v>5</v>
      </c>
      <c r="H184" s="14">
        <v>4</v>
      </c>
      <c r="I184" s="14">
        <v>5</v>
      </c>
      <c r="J184" s="14">
        <v>5</v>
      </c>
      <c r="K184" s="14">
        <v>5</v>
      </c>
      <c r="L184" s="71">
        <v>4</v>
      </c>
      <c r="M184" s="122">
        <v>6</v>
      </c>
      <c r="N184" s="122">
        <v>4</v>
      </c>
      <c r="O184" s="123">
        <v>5</v>
      </c>
      <c r="P184" s="14">
        <v>4</v>
      </c>
      <c r="Q184" s="71">
        <v>7</v>
      </c>
      <c r="R184" s="14">
        <v>4</v>
      </c>
      <c r="S184" s="14">
        <v>6</v>
      </c>
      <c r="T184" s="17">
        <f>SUM(Table145814[[#This Row],[1]:[9]])</f>
        <v>44</v>
      </c>
      <c r="U184" s="17">
        <f>SUM(Table145814[[#This Row],[10]:[18]])</f>
        <v>45</v>
      </c>
      <c r="V184" s="17">
        <f>SUM(Table145814[[#This Row],[Out]:[In]])</f>
        <v>89</v>
      </c>
      <c r="W184" s="15">
        <f>IF(Table145814[[#This Row],[Gross]]&gt;0,Table145814[[#This Row],[Gross]]-Table145814[[#This Row],[HCP]],0)</f>
        <v>83</v>
      </c>
      <c r="X184" s="15">
        <f>VLOOKUP(Table145814[[#This Row],[Player]],'Player Info'!A:C,3,0)</f>
        <v>6</v>
      </c>
      <c r="Y184" s="14" t="s">
        <v>78</v>
      </c>
      <c r="Z184" s="14" t="s">
        <v>92</v>
      </c>
      <c r="AA184" s="21"/>
      <c r="AB184" s="21"/>
      <c r="AC184" s="14" t="str">
        <f>VLOOKUP(Table145814[[#This Row],[Player]],'Player Info'!A:B,2,0)</f>
        <v>Eric</v>
      </c>
      <c r="AF184" s="4"/>
      <c r="AG184" s="4"/>
    </row>
    <row r="185" spans="1:33" ht="12.75" hidden="1" outlineLevel="1" x14ac:dyDescent="0.2">
      <c r="A185" s="19" t="s">
        <v>36</v>
      </c>
      <c r="B185" s="14">
        <v>4</v>
      </c>
      <c r="C185" s="71">
        <v>7</v>
      </c>
      <c r="D185" s="14">
        <v>6</v>
      </c>
      <c r="E185" s="71">
        <v>5</v>
      </c>
      <c r="F185" s="14">
        <v>5</v>
      </c>
      <c r="G185" s="71">
        <v>5</v>
      </c>
      <c r="H185" s="14">
        <v>3</v>
      </c>
      <c r="I185" s="14">
        <v>4</v>
      </c>
      <c r="J185" s="14">
        <v>5</v>
      </c>
      <c r="K185" s="14">
        <v>5</v>
      </c>
      <c r="L185" s="71">
        <v>6</v>
      </c>
      <c r="M185" s="122">
        <v>5</v>
      </c>
      <c r="N185" s="122">
        <v>4</v>
      </c>
      <c r="O185" s="123">
        <v>5</v>
      </c>
      <c r="P185" s="14">
        <v>2</v>
      </c>
      <c r="Q185" s="71">
        <v>7</v>
      </c>
      <c r="R185" s="14">
        <v>5</v>
      </c>
      <c r="S185" s="14">
        <v>4</v>
      </c>
      <c r="T185" s="15">
        <f>SUM(Table145814[[#This Row],[1]:[9]])</f>
        <v>44</v>
      </c>
      <c r="U185" s="15">
        <f>SUM(Table145814[[#This Row],[10]:[18]])</f>
        <v>43</v>
      </c>
      <c r="V185" s="15">
        <f>SUM(Table145814[[#This Row],[Out]:[In]])</f>
        <v>87</v>
      </c>
      <c r="W185" s="15">
        <f>IF(Table145814[[#This Row],[Gross]]&gt;0,Table145814[[#This Row],[Gross]]-Table145814[[#This Row],[HCP]],0)</f>
        <v>81</v>
      </c>
      <c r="X185" s="15">
        <f>VLOOKUP(Table145814[[#This Row],[Player]],'Player Info'!A:C,3,0)</f>
        <v>6</v>
      </c>
      <c r="Y185" s="14" t="s">
        <v>79</v>
      </c>
      <c r="Z185" s="14" t="s">
        <v>92</v>
      </c>
      <c r="AA185" s="21"/>
      <c r="AB185" s="21"/>
      <c r="AC185" s="14" t="str">
        <f>VLOOKUP(Table145814[[#This Row],[Player]],'Player Info'!A:B,2,0)</f>
        <v>Danny</v>
      </c>
      <c r="AF185" s="4"/>
      <c r="AG185" s="4"/>
    </row>
    <row r="186" spans="1:33" ht="12.75" hidden="1" outlineLevel="1" x14ac:dyDescent="0.2">
      <c r="A186" s="19" t="s">
        <v>51</v>
      </c>
      <c r="B186" s="71">
        <v>4</v>
      </c>
      <c r="C186" s="71">
        <v>7</v>
      </c>
      <c r="D186" s="71">
        <v>8</v>
      </c>
      <c r="E186" s="71">
        <v>8</v>
      </c>
      <c r="F186" s="14">
        <v>5</v>
      </c>
      <c r="G186" s="71">
        <v>5</v>
      </c>
      <c r="H186" s="14">
        <v>5</v>
      </c>
      <c r="I186" s="71">
        <v>6</v>
      </c>
      <c r="J186" s="71">
        <v>4</v>
      </c>
      <c r="K186" s="14">
        <v>6</v>
      </c>
      <c r="L186" s="71">
        <v>6</v>
      </c>
      <c r="M186" s="71">
        <v>6</v>
      </c>
      <c r="N186" s="71">
        <v>6</v>
      </c>
      <c r="O186" s="71">
        <v>7</v>
      </c>
      <c r="P186" s="71">
        <v>5</v>
      </c>
      <c r="Q186" s="71">
        <v>9</v>
      </c>
      <c r="R186" s="14">
        <v>4</v>
      </c>
      <c r="S186" s="71">
        <v>5</v>
      </c>
      <c r="T186" s="15">
        <f>SUM(Table145814[[#This Row],[1]:[9]])</f>
        <v>52</v>
      </c>
      <c r="U186" s="15">
        <f>SUM(Table145814[[#This Row],[10]:[18]])</f>
        <v>54</v>
      </c>
      <c r="V186" s="15">
        <f>SUM(Table145814[[#This Row],[Out]:[In]])</f>
        <v>106</v>
      </c>
      <c r="W186" s="15">
        <f>IF(Table145814[[#This Row],[Gross]]&gt;0,Table145814[[#This Row],[Gross]]-Table145814[[#This Row],[HCP]],0)</f>
        <v>92</v>
      </c>
      <c r="X186" s="15">
        <f>VLOOKUP(Table145814[[#This Row],[Player]],'Player Info'!A:C,3,0)</f>
        <v>14</v>
      </c>
      <c r="Y186" s="14" t="s">
        <v>78</v>
      </c>
      <c r="Z186" s="14" t="s">
        <v>92</v>
      </c>
      <c r="AA186" s="21"/>
      <c r="AB186" s="21"/>
      <c r="AC186" s="14" t="str">
        <f>VLOOKUP(Table145814[[#This Row],[Player]],'Player Info'!A:B,2,0)</f>
        <v>Eric</v>
      </c>
      <c r="AF186" s="4"/>
      <c r="AG186" s="4"/>
    </row>
    <row r="187" spans="1:33" ht="12.75" hidden="1" outlineLevel="1" x14ac:dyDescent="0.2">
      <c r="A187" s="19" t="s">
        <v>37</v>
      </c>
      <c r="B187" s="14">
        <v>5</v>
      </c>
      <c r="C187" s="71">
        <v>5</v>
      </c>
      <c r="D187" s="14">
        <v>4</v>
      </c>
      <c r="E187" s="71">
        <v>5</v>
      </c>
      <c r="F187" s="14">
        <v>3</v>
      </c>
      <c r="G187" s="71">
        <v>5</v>
      </c>
      <c r="H187" s="14">
        <v>2</v>
      </c>
      <c r="I187" s="71">
        <v>4</v>
      </c>
      <c r="J187" s="71">
        <v>4</v>
      </c>
      <c r="K187" s="14">
        <v>5</v>
      </c>
      <c r="L187" s="71">
        <v>7</v>
      </c>
      <c r="M187" s="122">
        <v>5</v>
      </c>
      <c r="N187" s="122">
        <v>4</v>
      </c>
      <c r="O187" s="123">
        <v>6</v>
      </c>
      <c r="P187" s="14">
        <v>3</v>
      </c>
      <c r="Q187" s="71">
        <v>5</v>
      </c>
      <c r="R187" s="14">
        <v>4</v>
      </c>
      <c r="S187" s="71">
        <v>4</v>
      </c>
      <c r="T187" s="15">
        <f>SUM(Table145814[[#This Row],[1]:[9]])</f>
        <v>37</v>
      </c>
      <c r="U187" s="15">
        <f>SUM(Table145814[[#This Row],[10]:[18]])</f>
        <v>43</v>
      </c>
      <c r="V187" s="15">
        <f>SUM(Table145814[[#This Row],[Out]:[In]])</f>
        <v>80</v>
      </c>
      <c r="W187" s="15">
        <f>IF(Table145814[[#This Row],[Gross]]&gt;0,Table145814[[#This Row],[Gross]]-Table145814[[#This Row],[HCP]],0)</f>
        <v>71</v>
      </c>
      <c r="X187" s="15">
        <f>VLOOKUP(Table145814[[#This Row],[Player]],'Player Info'!A:C,3,0)</f>
        <v>9</v>
      </c>
      <c r="Y187" s="14" t="s">
        <v>78</v>
      </c>
      <c r="Z187" s="14" t="s">
        <v>92</v>
      </c>
      <c r="AA187" s="21"/>
      <c r="AB187" s="21"/>
      <c r="AC187" s="14" t="str">
        <f>VLOOKUP(Table145814[[#This Row],[Player]],'Player Info'!A:B,2,0)</f>
        <v>Danny</v>
      </c>
      <c r="AF187" s="4"/>
      <c r="AG187" s="4"/>
    </row>
    <row r="188" spans="1:33" ht="12.75" hidden="1" outlineLevel="1" x14ac:dyDescent="0.2">
      <c r="A188" s="19" t="s">
        <v>15</v>
      </c>
      <c r="B188" s="71">
        <v>5</v>
      </c>
      <c r="C188" s="71">
        <v>8</v>
      </c>
      <c r="D188" s="71">
        <v>7</v>
      </c>
      <c r="E188" s="71">
        <v>8</v>
      </c>
      <c r="F188" s="71">
        <v>5</v>
      </c>
      <c r="G188" s="71">
        <v>7</v>
      </c>
      <c r="H188" s="14">
        <v>7</v>
      </c>
      <c r="I188" s="71">
        <v>9</v>
      </c>
      <c r="J188" s="71">
        <v>5</v>
      </c>
      <c r="K188" s="14">
        <v>9</v>
      </c>
      <c r="L188" s="71">
        <v>5</v>
      </c>
      <c r="M188" s="71">
        <v>10</v>
      </c>
      <c r="N188" s="71">
        <v>6</v>
      </c>
      <c r="O188" s="71">
        <v>8</v>
      </c>
      <c r="P188" s="71">
        <v>5</v>
      </c>
      <c r="Q188" s="71">
        <v>9</v>
      </c>
      <c r="R188" s="14">
        <v>5</v>
      </c>
      <c r="S188" s="71">
        <v>7</v>
      </c>
      <c r="T188" s="15">
        <f>SUM(Table145814[[#This Row],[1]:[9]])</f>
        <v>61</v>
      </c>
      <c r="U188" s="15">
        <f>SUM(Table145814[[#This Row],[10]:[18]])</f>
        <v>64</v>
      </c>
      <c r="V188" s="15">
        <f>SUM(Table145814[[#This Row],[Out]:[In]])</f>
        <v>125</v>
      </c>
      <c r="W188" s="15">
        <f>IF(Table145814[[#This Row],[Gross]]&gt;0,Table145814[[#This Row],[Gross]]-Table145814[[#This Row],[HCP]],0)</f>
        <v>110</v>
      </c>
      <c r="X188" s="15">
        <f>VLOOKUP(Table145814[[#This Row],[Player]],'Player Info'!A:C,3,0)</f>
        <v>15</v>
      </c>
      <c r="Y188" s="14" t="s">
        <v>78</v>
      </c>
      <c r="Z188" s="14" t="s">
        <v>92</v>
      </c>
      <c r="AA188" s="21"/>
      <c r="AB188" s="21"/>
      <c r="AC188" s="14" t="str">
        <f>VLOOKUP(Table145814[[#This Row],[Player]],'Player Info'!A:B,2,0)</f>
        <v>Eric</v>
      </c>
      <c r="AF188" s="4"/>
      <c r="AG188" s="4"/>
    </row>
    <row r="189" spans="1:33" collapsed="1" x14ac:dyDescent="0.25"/>
    <row r="191" spans="1:33" ht="15.75" thickBot="1" x14ac:dyDescent="0.3"/>
    <row r="192" spans="1:33" ht="24" x14ac:dyDescent="0.25">
      <c r="AA192" s="154" t="s">
        <v>133</v>
      </c>
      <c r="AB192" s="153" t="s">
        <v>181</v>
      </c>
      <c r="AC192" s="152" t="s">
        <v>180</v>
      </c>
      <c r="AD192" s="152" t="s">
        <v>179</v>
      </c>
    </row>
    <row r="193" spans="27:30" ht="15.75" thickBot="1" x14ac:dyDescent="0.3">
      <c r="AA193" s="155"/>
      <c r="AB193" s="151" t="s">
        <v>178</v>
      </c>
      <c r="AC193" s="150" t="s">
        <v>177</v>
      </c>
      <c r="AD193" s="150"/>
    </row>
    <row r="194" spans="27:30" ht="15.75" thickBot="1" x14ac:dyDescent="0.3">
      <c r="AA194" s="146" t="s">
        <v>47</v>
      </c>
      <c r="AB194" s="145">
        <v>1</v>
      </c>
      <c r="AC194" s="141">
        <v>230</v>
      </c>
      <c r="AD194" s="141">
        <f t="shared" ref="AD194:AD205" si="0">AC194-72-72-72</f>
        <v>14</v>
      </c>
    </row>
    <row r="195" spans="27:30" ht="15.75" thickBot="1" x14ac:dyDescent="0.3">
      <c r="AA195" s="149" t="s">
        <v>45</v>
      </c>
      <c r="AB195" s="148">
        <v>2</v>
      </c>
      <c r="AC195" s="147">
        <v>232</v>
      </c>
      <c r="AD195" s="141">
        <f t="shared" si="0"/>
        <v>16</v>
      </c>
    </row>
    <row r="196" spans="27:30" ht="15.75" thickBot="1" x14ac:dyDescent="0.3">
      <c r="AA196" s="146" t="s">
        <v>49</v>
      </c>
      <c r="AB196" s="145">
        <v>3</v>
      </c>
      <c r="AC196" s="141">
        <v>239</v>
      </c>
      <c r="AD196" s="141">
        <f t="shared" si="0"/>
        <v>23</v>
      </c>
    </row>
    <row r="197" spans="27:30" ht="15.75" thickBot="1" x14ac:dyDescent="0.3">
      <c r="AA197" s="149" t="s">
        <v>37</v>
      </c>
      <c r="AB197" s="148">
        <v>4</v>
      </c>
      <c r="AC197" s="147">
        <v>245</v>
      </c>
      <c r="AD197" s="141">
        <f t="shared" si="0"/>
        <v>29</v>
      </c>
    </row>
    <row r="198" spans="27:30" ht="15.75" thickBot="1" x14ac:dyDescent="0.3">
      <c r="AA198" s="146" t="s">
        <v>54</v>
      </c>
      <c r="AB198" s="145">
        <v>5</v>
      </c>
      <c r="AC198" s="141">
        <v>248</v>
      </c>
      <c r="AD198" s="141">
        <f t="shared" si="0"/>
        <v>32</v>
      </c>
    </row>
    <row r="199" spans="27:30" ht="15.75" thickBot="1" x14ac:dyDescent="0.3">
      <c r="AA199" s="149" t="s">
        <v>50</v>
      </c>
      <c r="AB199" s="148">
        <v>6</v>
      </c>
      <c r="AC199" s="147">
        <v>248</v>
      </c>
      <c r="AD199" s="141">
        <f t="shared" si="0"/>
        <v>32</v>
      </c>
    </row>
    <row r="200" spans="27:30" ht="15.75" thickBot="1" x14ac:dyDescent="0.3">
      <c r="AA200" s="146" t="s">
        <v>48</v>
      </c>
      <c r="AB200" s="145">
        <v>7</v>
      </c>
      <c r="AC200" s="141">
        <v>251</v>
      </c>
      <c r="AD200" s="141">
        <f t="shared" si="0"/>
        <v>35</v>
      </c>
    </row>
    <row r="201" spans="27:30" ht="15.75" thickBot="1" x14ac:dyDescent="0.3">
      <c r="AA201" s="149" t="s">
        <v>36</v>
      </c>
      <c r="AB201" s="148">
        <v>8</v>
      </c>
      <c r="AC201" s="147">
        <v>252</v>
      </c>
      <c r="AD201" s="141">
        <f t="shared" si="0"/>
        <v>36</v>
      </c>
    </row>
    <row r="202" spans="27:30" ht="15.75" thickBot="1" x14ac:dyDescent="0.3">
      <c r="AA202" s="146" t="s">
        <v>14</v>
      </c>
      <c r="AB202" s="145">
        <v>9</v>
      </c>
      <c r="AC202" s="141">
        <v>254</v>
      </c>
      <c r="AD202" s="141">
        <f t="shared" si="0"/>
        <v>38</v>
      </c>
    </row>
    <row r="203" spans="27:30" ht="15.75" thickBot="1" x14ac:dyDescent="0.3">
      <c r="AA203" s="149" t="s">
        <v>51</v>
      </c>
      <c r="AB203" s="148">
        <v>10</v>
      </c>
      <c r="AC203" s="147">
        <v>265</v>
      </c>
      <c r="AD203" s="141">
        <f t="shared" si="0"/>
        <v>49</v>
      </c>
    </row>
    <row r="204" spans="27:30" ht="15.75" thickBot="1" x14ac:dyDescent="0.3">
      <c r="AA204" s="146" t="s">
        <v>52</v>
      </c>
      <c r="AB204" s="145">
        <v>11</v>
      </c>
      <c r="AC204" s="141">
        <v>307</v>
      </c>
      <c r="AD204" s="141">
        <f t="shared" si="0"/>
        <v>91</v>
      </c>
    </row>
    <row r="205" spans="27:30" ht="15.75" thickBot="1" x14ac:dyDescent="0.3">
      <c r="AA205" s="144" t="s">
        <v>15</v>
      </c>
      <c r="AB205" s="143">
        <v>12</v>
      </c>
      <c r="AC205" s="142">
        <v>322</v>
      </c>
      <c r="AD205" s="141">
        <f t="shared" si="0"/>
        <v>106</v>
      </c>
    </row>
  </sheetData>
  <mergeCells count="1">
    <mergeCell ref="AA192:AA193"/>
  </mergeCells>
  <dataValidations count="8">
    <dataValidation type="list" allowBlank="1" showInputMessage="1" showErrorMessage="1" sqref="R114 R76">
      <formula1>"1.5,.5, 0"</formula1>
    </dataValidation>
    <dataValidation type="list" allowBlank="1" showInputMessage="1" showErrorMessage="1" sqref="Y26:Y37 Y45:Y56 O64:O76 O102:O114 O120:O131 O83:O94">
      <formula1>"Game 1, Game 2, Game 3, Game 4"</formula1>
    </dataValidation>
    <dataValidation type="list" allowBlank="1" showInputMessage="1" showErrorMessage="1" sqref="Y139:Y150 Y158:Y169 Y177:Y188">
      <formula1>"Game 1, Game 2, Game 3, Game 4, Game 5, Game 6, Game 7, Game 8"</formula1>
    </dataValidation>
    <dataValidation type="list" allowBlank="1" showInputMessage="1" showErrorMessage="1" sqref="AB26:AB37 AB45:AB56">
      <formula1>"2,1,0"</formula1>
    </dataValidation>
    <dataValidation type="list" allowBlank="1" showInputMessage="1" showErrorMessage="1" sqref="AB158:AB169 AB139:AB150">
      <formula1>"1,0"</formula1>
    </dataValidation>
    <dataValidation type="list" allowBlank="1" showInputMessage="1" showErrorMessage="1" sqref="R120:R131 R83:R94 R102:R113">
      <formula1>"4,3,2,1,0"</formula1>
    </dataValidation>
    <dataValidation type="list" allowBlank="1" showInputMessage="1" showErrorMessage="1" sqref="AB177:AB188">
      <formula1>"0"</formula1>
    </dataValidation>
    <dataValidation type="list" allowBlank="1" showInputMessage="1" showErrorMessage="1" sqref="R64:R75">
      <formula1>"4,3,2,1.5,1,0,0.5"</formula1>
    </dataValidation>
  </dataValidations>
  <pageMargins left="0.7" right="0.7" top="0.75" bottom="0.75" header="0.3" footer="0.3"/>
  <pageSetup orientation="portrait" r:id="rId1"/>
  <tableParts count="10">
    <tablePart r:id="rId2"/>
    <tablePart r:id="rId3"/>
    <tablePart r:id="rId4"/>
    <tablePart r:id="rId5"/>
    <tablePart r:id="rId6"/>
    <tablePart r:id="rId7"/>
    <tablePart r:id="rId8"/>
    <tablePart r:id="rId9"/>
    <tablePart r:id="rId10"/>
    <tablePart r:id="rId11"/>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'Player Info'!$A$2:$A$13</xm:f>
          </x14:formula1>
          <xm:sqref>A26:A37 A45:A56 A7:A19 A139:A150 A158:A169 A177:A188 A64:A76 A83:A94 A102:A114 A120:A131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B4" sqref="B4"/>
    </sheetView>
  </sheetViews>
  <sheetFormatPr defaultColWidth="8.7109375" defaultRowHeight="12" x14ac:dyDescent="0.25"/>
  <cols>
    <col min="1" max="1" width="14.42578125" style="90" customWidth="1"/>
    <col min="2" max="2" width="17.140625" style="90" customWidth="1"/>
    <col min="3" max="3" width="28.140625" style="90" customWidth="1"/>
    <col min="4" max="4" width="25.140625" style="90" customWidth="1"/>
    <col min="5" max="5" width="30.5703125" style="90" customWidth="1"/>
    <col min="6" max="6" width="49.42578125" style="90" customWidth="1"/>
    <col min="7" max="16384" width="8.7109375" style="90"/>
  </cols>
  <sheetData>
    <row r="1" spans="1:6" x14ac:dyDescent="0.25">
      <c r="A1" s="91" t="s">
        <v>35</v>
      </c>
      <c r="B1" s="92" t="s">
        <v>104</v>
      </c>
      <c r="C1" s="92" t="s">
        <v>100</v>
      </c>
      <c r="D1" s="92" t="s">
        <v>103</v>
      </c>
      <c r="E1" s="92" t="s">
        <v>101</v>
      </c>
      <c r="F1" s="93" t="s">
        <v>102</v>
      </c>
    </row>
    <row r="2" spans="1:6" ht="48" x14ac:dyDescent="0.25">
      <c r="A2" s="94" t="s">
        <v>149</v>
      </c>
      <c r="B2" s="95" t="s">
        <v>119</v>
      </c>
      <c r="C2" s="96" t="s">
        <v>145</v>
      </c>
      <c r="D2" s="97" t="s">
        <v>150</v>
      </c>
      <c r="E2" s="97" t="s">
        <v>151</v>
      </c>
      <c r="F2" s="98"/>
    </row>
    <row r="3" spans="1:6" ht="252" x14ac:dyDescent="0.25">
      <c r="A3" s="99" t="s">
        <v>146</v>
      </c>
      <c r="B3" s="100" t="s">
        <v>124</v>
      </c>
      <c r="C3" s="101" t="s">
        <v>109</v>
      </c>
      <c r="D3" s="101" t="s">
        <v>123</v>
      </c>
      <c r="E3" s="101" t="s">
        <v>148</v>
      </c>
      <c r="F3" s="102" t="s">
        <v>168</v>
      </c>
    </row>
    <row r="4" spans="1:6" ht="120" x14ac:dyDescent="0.25">
      <c r="A4" s="94" t="s">
        <v>147</v>
      </c>
      <c r="B4" s="103" t="s">
        <v>125</v>
      </c>
      <c r="C4" s="96" t="s">
        <v>106</v>
      </c>
      <c r="D4" s="96" t="s">
        <v>176</v>
      </c>
      <c r="E4" s="96" t="s">
        <v>105</v>
      </c>
      <c r="F4" s="98"/>
    </row>
    <row r="5" spans="1:6" ht="108" x14ac:dyDescent="0.25">
      <c r="A5" s="131" t="s">
        <v>107</v>
      </c>
      <c r="B5" s="132" t="s">
        <v>122</v>
      </c>
      <c r="C5" s="133" t="s">
        <v>126</v>
      </c>
      <c r="D5" s="133" t="s">
        <v>152</v>
      </c>
      <c r="E5" s="133" t="s">
        <v>105</v>
      </c>
      <c r="F5" s="134" t="s">
        <v>108</v>
      </c>
    </row>
    <row r="6" spans="1:6" ht="108" x14ac:dyDescent="0.25">
      <c r="A6" s="135" t="s">
        <v>90</v>
      </c>
      <c r="B6" s="136" t="s">
        <v>111</v>
      </c>
      <c r="C6" s="137" t="s">
        <v>110</v>
      </c>
      <c r="D6" s="138" t="s">
        <v>92</v>
      </c>
      <c r="E6" s="137" t="s">
        <v>105</v>
      </c>
      <c r="F6" s="139" t="s">
        <v>112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zoomScale="85" zoomScaleNormal="85" workbookViewId="0">
      <selection activeCell="G20" sqref="G20"/>
    </sheetView>
  </sheetViews>
  <sheetFormatPr defaultRowHeight="15" x14ac:dyDescent="0.25"/>
  <cols>
    <col min="1" max="1" width="24.85546875" customWidth="1"/>
    <col min="2" max="2" width="30.42578125" customWidth="1"/>
    <col min="5" max="5" width="12.5703125" customWidth="1"/>
    <col min="6" max="9" width="10.5703125" customWidth="1"/>
    <col min="10" max="10" width="9.5703125" customWidth="1"/>
  </cols>
  <sheetData>
    <row r="1" spans="1:10" x14ac:dyDescent="0.25">
      <c r="A1" s="22"/>
      <c r="B1" s="22"/>
      <c r="C1" s="22"/>
    </row>
    <row r="2" spans="1:10" ht="15.75" thickBot="1" x14ac:dyDescent="0.3">
      <c r="A2" s="26" t="s">
        <v>153</v>
      </c>
      <c r="B2" s="22"/>
      <c r="C2" s="22"/>
    </row>
    <row r="3" spans="1:10" x14ac:dyDescent="0.25">
      <c r="A3" s="158" t="s">
        <v>63</v>
      </c>
      <c r="B3" s="159"/>
      <c r="C3" s="22"/>
    </row>
    <row r="4" spans="1:10" x14ac:dyDescent="0.25">
      <c r="A4" s="46" t="s">
        <v>62</v>
      </c>
      <c r="B4" s="48" t="s">
        <v>61</v>
      </c>
      <c r="C4" s="22"/>
    </row>
    <row r="5" spans="1:10" ht="15.75" thickBot="1" x14ac:dyDescent="0.3">
      <c r="A5" s="39" t="s">
        <v>60</v>
      </c>
      <c r="B5" s="41" t="s">
        <v>154</v>
      </c>
      <c r="C5" s="22"/>
    </row>
    <row r="6" spans="1:10" x14ac:dyDescent="0.25">
      <c r="A6" s="22"/>
      <c r="B6" s="27"/>
      <c r="C6" s="22"/>
      <c r="E6" s="22"/>
      <c r="F6" s="22"/>
      <c r="G6" s="22"/>
      <c r="H6" s="22"/>
      <c r="I6" s="22"/>
      <c r="J6" s="22"/>
    </row>
    <row r="7" spans="1:10" ht="15.75" thickBot="1" x14ac:dyDescent="0.3">
      <c r="A7" s="26" t="s">
        <v>155</v>
      </c>
      <c r="B7" s="55"/>
      <c r="C7" s="22"/>
      <c r="D7" s="26" t="s">
        <v>65</v>
      </c>
      <c r="F7" s="22"/>
      <c r="H7" s="22"/>
      <c r="I7" s="22"/>
      <c r="J7" s="22"/>
    </row>
    <row r="8" spans="1:10" ht="15.75" thickBot="1" x14ac:dyDescent="0.3">
      <c r="A8" s="51" t="s">
        <v>77</v>
      </c>
      <c r="B8" s="52" t="s">
        <v>169</v>
      </c>
      <c r="D8" s="60" t="s">
        <v>11</v>
      </c>
      <c r="E8" s="61" t="s">
        <v>1</v>
      </c>
      <c r="F8" s="62" t="s">
        <v>66</v>
      </c>
      <c r="H8" s="27"/>
      <c r="I8" s="27"/>
      <c r="J8" s="50"/>
    </row>
    <row r="9" spans="1:10" ht="15.75" thickBot="1" x14ac:dyDescent="0.3">
      <c r="A9" s="28"/>
      <c r="B9" s="53" t="s">
        <v>170</v>
      </c>
      <c r="D9" s="35" t="s">
        <v>56</v>
      </c>
      <c r="E9" s="42" t="s">
        <v>62</v>
      </c>
      <c r="F9" s="43"/>
      <c r="H9" s="27"/>
      <c r="I9" s="27"/>
      <c r="J9" s="50"/>
    </row>
    <row r="10" spans="1:10" x14ac:dyDescent="0.25">
      <c r="A10" s="51" t="s">
        <v>55</v>
      </c>
      <c r="B10" s="54" t="s">
        <v>171</v>
      </c>
      <c r="D10" s="37" t="s">
        <v>57</v>
      </c>
      <c r="E10" s="44" t="s">
        <v>154</v>
      </c>
      <c r="F10" s="45"/>
      <c r="H10" s="27"/>
      <c r="I10" s="27"/>
      <c r="J10" s="50"/>
    </row>
    <row r="11" spans="1:10" ht="15.75" thickBot="1" x14ac:dyDescent="0.3">
      <c r="A11" s="29"/>
      <c r="B11" s="140" t="s">
        <v>172</v>
      </c>
      <c r="D11" s="46" t="s">
        <v>58</v>
      </c>
      <c r="E11" s="47" t="s">
        <v>61</v>
      </c>
      <c r="F11" s="48"/>
      <c r="H11" s="27"/>
      <c r="I11" s="27"/>
      <c r="J11" s="50"/>
    </row>
    <row r="12" spans="1:10" ht="15.75" thickBot="1" x14ac:dyDescent="0.3">
      <c r="A12" s="51" t="s">
        <v>175</v>
      </c>
      <c r="B12" s="54" t="s">
        <v>173</v>
      </c>
      <c r="D12" s="39" t="s">
        <v>59</v>
      </c>
      <c r="E12" s="40" t="s">
        <v>60</v>
      </c>
      <c r="F12" s="41"/>
    </row>
    <row r="13" spans="1:10" ht="15.75" thickBot="1" x14ac:dyDescent="0.3">
      <c r="A13" s="29"/>
      <c r="B13" s="140" t="s">
        <v>174</v>
      </c>
      <c r="D13" s="27"/>
      <c r="E13" s="27"/>
      <c r="F13" s="27"/>
      <c r="G13" s="27"/>
      <c r="H13" s="27"/>
      <c r="I13" s="27"/>
      <c r="J13" s="50"/>
    </row>
    <row r="14" spans="1:10" x14ac:dyDescent="0.25">
      <c r="A14" s="125"/>
      <c r="D14" s="27"/>
      <c r="E14" s="125"/>
      <c r="F14" s="30"/>
      <c r="G14" s="27"/>
      <c r="H14" s="27"/>
      <c r="I14" s="27"/>
    </row>
    <row r="15" spans="1:10" ht="15.75" thickBot="1" x14ac:dyDescent="0.3">
      <c r="A15" s="26" t="s">
        <v>156</v>
      </c>
      <c r="B15" s="27"/>
      <c r="D15" s="27"/>
      <c r="E15" s="125"/>
      <c r="F15" s="30"/>
      <c r="G15" s="27"/>
      <c r="H15" s="27"/>
      <c r="I15" s="27"/>
    </row>
    <row r="16" spans="1:10" ht="15.75" thickBot="1" x14ac:dyDescent="0.3">
      <c r="A16" s="34" t="s">
        <v>166</v>
      </c>
      <c r="B16" s="34" t="s">
        <v>167</v>
      </c>
      <c r="D16" s="27"/>
      <c r="E16" s="125"/>
      <c r="F16" s="30"/>
      <c r="G16" s="27"/>
      <c r="H16" s="27"/>
      <c r="I16" s="27"/>
    </row>
    <row r="17" spans="1:14" x14ac:dyDescent="0.25">
      <c r="A17" s="36" t="s">
        <v>13</v>
      </c>
      <c r="B17" s="36" t="s">
        <v>53</v>
      </c>
      <c r="C17" s="27"/>
      <c r="D17" s="27"/>
      <c r="E17" s="125"/>
      <c r="F17" s="30"/>
      <c r="G17" s="27"/>
      <c r="H17" s="27"/>
      <c r="I17" s="27"/>
      <c r="J17" s="27"/>
      <c r="K17" s="27"/>
    </row>
    <row r="18" spans="1:14" s="125" customFormat="1" ht="15.75" thickBot="1" x14ac:dyDescent="0.3">
      <c r="A18" s="38" t="s">
        <v>72</v>
      </c>
      <c r="B18" s="38" t="s">
        <v>68</v>
      </c>
      <c r="C18" s="27"/>
      <c r="D18" s="27"/>
      <c r="F18" s="30"/>
      <c r="G18" s="27"/>
      <c r="H18" s="27"/>
      <c r="I18" s="27"/>
      <c r="J18" s="27"/>
      <c r="K18" s="27"/>
    </row>
    <row r="19" spans="1:14" s="125" customFormat="1" x14ac:dyDescent="0.25">
      <c r="A19" s="36" t="s">
        <v>73</v>
      </c>
      <c r="B19" s="36" t="s">
        <v>69</v>
      </c>
      <c r="C19" s="27"/>
      <c r="D19" s="27"/>
      <c r="F19" s="30"/>
      <c r="G19" s="27"/>
      <c r="H19" s="27"/>
      <c r="I19" s="27"/>
      <c r="J19" s="27"/>
      <c r="K19" s="27"/>
    </row>
    <row r="20" spans="1:14" s="125" customFormat="1" ht="15.75" thickBot="1" x14ac:dyDescent="0.3">
      <c r="A20" s="32" t="s">
        <v>75</v>
      </c>
      <c r="B20" s="32" t="s">
        <v>70</v>
      </c>
      <c r="C20" s="27"/>
      <c r="D20" s="27"/>
      <c r="F20" s="30"/>
      <c r="G20" s="27"/>
      <c r="H20" s="27"/>
      <c r="I20" s="27"/>
    </row>
    <row r="21" spans="1:14" s="125" customFormat="1" x14ac:dyDescent="0.25">
      <c r="A21" s="27"/>
      <c r="B21" s="27"/>
      <c r="C21" s="27"/>
      <c r="D21" s="27"/>
      <c r="F21" s="30"/>
      <c r="G21" s="27"/>
      <c r="H21" s="27"/>
      <c r="I21" s="27"/>
    </row>
    <row r="22" spans="1:14" s="125" customFormat="1" ht="15.75" thickBot="1" x14ac:dyDescent="0.3">
      <c r="A22" s="26" t="s">
        <v>165</v>
      </c>
      <c r="B22" s="22"/>
      <c r="C22" s="27"/>
      <c r="D22" s="27"/>
      <c r="F22" s="30"/>
      <c r="G22" s="27"/>
      <c r="H22" s="27"/>
      <c r="I22" s="27"/>
    </row>
    <row r="23" spans="1:14" s="125" customFormat="1" ht="15.75" thickBot="1" x14ac:dyDescent="0.3">
      <c r="A23" s="33" t="s">
        <v>63</v>
      </c>
      <c r="B23" s="34" t="s">
        <v>64</v>
      </c>
      <c r="C23" s="27"/>
      <c r="D23" s="27"/>
      <c r="F23" s="30"/>
      <c r="G23" s="27"/>
      <c r="H23" s="27"/>
      <c r="I23" s="27"/>
    </row>
    <row r="24" spans="1:14" s="125" customFormat="1" x14ac:dyDescent="0.25">
      <c r="A24" s="35" t="s">
        <v>157</v>
      </c>
      <c r="B24" s="36" t="s">
        <v>162</v>
      </c>
      <c r="C24" s="27"/>
      <c r="D24" s="27"/>
      <c r="F24" s="30"/>
      <c r="G24" s="27"/>
      <c r="H24" s="27"/>
      <c r="I24" s="27"/>
    </row>
    <row r="25" spans="1:14" ht="15.75" thickBot="1" x14ac:dyDescent="0.3">
      <c r="A25" s="37" t="s">
        <v>163</v>
      </c>
      <c r="B25" s="38" t="s">
        <v>161</v>
      </c>
      <c r="C25" s="23"/>
      <c r="D25" s="22"/>
    </row>
    <row r="26" spans="1:14" x14ac:dyDescent="0.25">
      <c r="A26" s="35" t="s">
        <v>164</v>
      </c>
      <c r="B26" s="36" t="s">
        <v>160</v>
      </c>
      <c r="C26" s="23"/>
      <c r="D26" s="22"/>
    </row>
    <row r="27" spans="1:14" ht="15.75" thickBot="1" x14ac:dyDescent="0.3">
      <c r="A27" s="39" t="s">
        <v>159</v>
      </c>
      <c r="B27" s="32" t="s">
        <v>158</v>
      </c>
      <c r="C27" s="23"/>
      <c r="D27" s="22"/>
    </row>
    <row r="28" spans="1:14" x14ac:dyDescent="0.25">
      <c r="C28" s="23"/>
      <c r="D28" s="22"/>
    </row>
    <row r="30" spans="1:14" ht="15.75" thickBot="1" x14ac:dyDescent="0.3">
      <c r="A30" s="26" t="s">
        <v>76</v>
      </c>
      <c r="B30" s="22"/>
      <c r="C30" s="23"/>
      <c r="D30" s="22"/>
    </row>
    <row r="31" spans="1:14" ht="15.75" thickBot="1" x14ac:dyDescent="0.3">
      <c r="A31" s="156"/>
      <c r="B31" s="157"/>
      <c r="C31" s="49" t="s">
        <v>13</v>
      </c>
      <c r="D31" s="56" t="s">
        <v>68</v>
      </c>
      <c r="E31" s="56" t="s">
        <v>69</v>
      </c>
      <c r="F31" s="56" t="s">
        <v>67</v>
      </c>
      <c r="G31" s="56" t="s">
        <v>12</v>
      </c>
      <c r="H31" s="56" t="s">
        <v>70</v>
      </c>
      <c r="I31" s="56" t="s">
        <v>71</v>
      </c>
      <c r="J31" s="56" t="s">
        <v>72</v>
      </c>
      <c r="K31" s="56" t="s">
        <v>73</v>
      </c>
      <c r="L31" s="56" t="s">
        <v>53</v>
      </c>
      <c r="M31" s="56" t="s">
        <v>74</v>
      </c>
      <c r="N31" s="57" t="s">
        <v>75</v>
      </c>
    </row>
    <row r="32" spans="1:14" x14ac:dyDescent="0.25">
      <c r="A32" s="160" t="s">
        <v>36</v>
      </c>
      <c r="B32" s="161"/>
      <c r="C32" s="63"/>
      <c r="D32" s="64">
        <v>2</v>
      </c>
      <c r="E32" s="64">
        <v>2</v>
      </c>
      <c r="F32" s="64">
        <v>4</v>
      </c>
      <c r="G32" s="64">
        <v>3.25</v>
      </c>
      <c r="H32" s="64">
        <v>0.25</v>
      </c>
      <c r="I32" s="64">
        <v>1.25</v>
      </c>
      <c r="J32" s="64">
        <v>1.25</v>
      </c>
      <c r="K32" s="64">
        <v>2.25</v>
      </c>
      <c r="L32" s="64">
        <v>1.25</v>
      </c>
      <c r="M32" s="64">
        <v>0.25</v>
      </c>
      <c r="N32" s="65">
        <v>1.25</v>
      </c>
    </row>
    <row r="33" spans="1:14" x14ac:dyDescent="0.25">
      <c r="A33" s="162" t="s">
        <v>37</v>
      </c>
      <c r="B33" s="163"/>
      <c r="C33" s="59">
        <v>2</v>
      </c>
      <c r="D33" s="66"/>
      <c r="E33" s="59">
        <v>4</v>
      </c>
      <c r="F33" s="59">
        <v>2</v>
      </c>
      <c r="G33" s="59">
        <v>1.25</v>
      </c>
      <c r="H33" s="59">
        <v>0.25</v>
      </c>
      <c r="I33" s="59">
        <v>2.25</v>
      </c>
      <c r="J33" s="59">
        <v>3.25</v>
      </c>
      <c r="K33" s="59">
        <v>1.25</v>
      </c>
      <c r="L33" s="59">
        <v>1.25</v>
      </c>
      <c r="M33" s="59">
        <v>1.25</v>
      </c>
      <c r="N33" s="67">
        <v>0.25</v>
      </c>
    </row>
    <row r="34" spans="1:14" x14ac:dyDescent="0.25">
      <c r="A34" s="160" t="s">
        <v>47</v>
      </c>
      <c r="B34" s="161"/>
      <c r="C34" s="58">
        <v>2</v>
      </c>
      <c r="D34" s="58">
        <v>4</v>
      </c>
      <c r="E34" s="66"/>
      <c r="F34" s="58">
        <v>3</v>
      </c>
      <c r="G34" s="58">
        <v>0.25</v>
      </c>
      <c r="H34" s="58">
        <v>1.25</v>
      </c>
      <c r="I34" s="58">
        <v>0.25</v>
      </c>
      <c r="J34" s="58">
        <v>0.25</v>
      </c>
      <c r="K34" s="58">
        <v>2.25</v>
      </c>
      <c r="L34" s="58">
        <v>1.25</v>
      </c>
      <c r="M34" s="58">
        <v>1.25</v>
      </c>
      <c r="N34" s="68">
        <v>3.25</v>
      </c>
    </row>
    <row r="35" spans="1:14" x14ac:dyDescent="0.25">
      <c r="A35" s="162" t="s">
        <v>54</v>
      </c>
      <c r="B35" s="163"/>
      <c r="C35" s="59">
        <v>4</v>
      </c>
      <c r="D35" s="59">
        <v>2</v>
      </c>
      <c r="E35" s="59">
        <v>3</v>
      </c>
      <c r="F35" s="66"/>
      <c r="G35" s="59">
        <v>1.25</v>
      </c>
      <c r="H35" s="59">
        <v>1.25</v>
      </c>
      <c r="I35" s="59">
        <v>2.25</v>
      </c>
      <c r="J35" s="59">
        <v>1.25</v>
      </c>
      <c r="K35" s="59">
        <v>0.25</v>
      </c>
      <c r="L35" s="59">
        <v>0.25</v>
      </c>
      <c r="M35" s="59">
        <v>1.25</v>
      </c>
      <c r="N35" s="67">
        <v>2.25</v>
      </c>
    </row>
    <row r="36" spans="1:14" x14ac:dyDescent="0.25">
      <c r="A36" s="160" t="s">
        <v>14</v>
      </c>
      <c r="B36" s="161"/>
      <c r="C36" s="58">
        <v>3.25</v>
      </c>
      <c r="D36" s="58">
        <v>1.25</v>
      </c>
      <c r="E36" s="58">
        <v>0.25</v>
      </c>
      <c r="F36" s="58">
        <v>1.25</v>
      </c>
      <c r="G36" s="66"/>
      <c r="H36" s="58">
        <v>2</v>
      </c>
      <c r="I36" s="58">
        <v>4</v>
      </c>
      <c r="J36" s="58">
        <v>2</v>
      </c>
      <c r="K36" s="58">
        <v>1.25</v>
      </c>
      <c r="L36" s="58">
        <v>2.25</v>
      </c>
      <c r="M36" s="58">
        <v>1.25</v>
      </c>
      <c r="N36" s="68">
        <v>0.25</v>
      </c>
    </row>
    <row r="37" spans="1:14" x14ac:dyDescent="0.25">
      <c r="A37" s="162" t="s">
        <v>50</v>
      </c>
      <c r="B37" s="163"/>
      <c r="C37" s="59">
        <v>0.25</v>
      </c>
      <c r="D37" s="59">
        <v>0.25</v>
      </c>
      <c r="E37" s="59">
        <v>1.25</v>
      </c>
      <c r="F37" s="59">
        <v>1.25</v>
      </c>
      <c r="G37" s="59">
        <v>2</v>
      </c>
      <c r="H37" s="66"/>
      <c r="I37" s="59">
        <v>2</v>
      </c>
      <c r="J37" s="59">
        <v>4</v>
      </c>
      <c r="K37" s="59">
        <v>1.25</v>
      </c>
      <c r="L37" s="59">
        <v>2.25</v>
      </c>
      <c r="M37" s="59">
        <v>2.25</v>
      </c>
      <c r="N37" s="67">
        <v>2.25</v>
      </c>
    </row>
    <row r="38" spans="1:14" x14ac:dyDescent="0.25">
      <c r="A38" s="160" t="s">
        <v>15</v>
      </c>
      <c r="B38" s="161"/>
      <c r="C38" s="58">
        <v>1.25</v>
      </c>
      <c r="D38" s="58">
        <v>2.25</v>
      </c>
      <c r="E38" s="58">
        <v>0.25</v>
      </c>
      <c r="F38" s="58">
        <v>2.25</v>
      </c>
      <c r="G38" s="58">
        <v>4</v>
      </c>
      <c r="H38" s="58">
        <v>2</v>
      </c>
      <c r="I38" s="66"/>
      <c r="J38" s="58">
        <v>3</v>
      </c>
      <c r="K38" s="58">
        <v>1.25</v>
      </c>
      <c r="L38" s="58">
        <v>1.25</v>
      </c>
      <c r="M38" s="58">
        <v>1.25</v>
      </c>
      <c r="N38" s="68">
        <v>0.25</v>
      </c>
    </row>
    <row r="39" spans="1:14" x14ac:dyDescent="0.25">
      <c r="A39" s="162" t="s">
        <v>51</v>
      </c>
      <c r="B39" s="163"/>
      <c r="C39" s="59">
        <v>1.25</v>
      </c>
      <c r="D39" s="59">
        <v>3.25</v>
      </c>
      <c r="E39" s="59">
        <v>0.25</v>
      </c>
      <c r="F39" s="59">
        <v>1.25</v>
      </c>
      <c r="G39" s="59">
        <v>2</v>
      </c>
      <c r="H39" s="59">
        <v>4</v>
      </c>
      <c r="I39" s="59">
        <v>3</v>
      </c>
      <c r="J39" s="66"/>
      <c r="K39" s="59">
        <v>0.25</v>
      </c>
      <c r="L39" s="59">
        <v>0.25</v>
      </c>
      <c r="M39" s="59">
        <v>2.25</v>
      </c>
      <c r="N39" s="67">
        <v>1.25</v>
      </c>
    </row>
    <row r="40" spans="1:14" x14ac:dyDescent="0.25">
      <c r="A40" s="160" t="s">
        <v>49</v>
      </c>
      <c r="B40" s="161"/>
      <c r="C40" s="58">
        <v>2.25</v>
      </c>
      <c r="D40" s="58">
        <v>1.25</v>
      </c>
      <c r="E40" s="58">
        <v>2.25</v>
      </c>
      <c r="F40" s="58">
        <v>1.25</v>
      </c>
      <c r="G40" s="58">
        <v>1.25</v>
      </c>
      <c r="H40" s="58">
        <v>1.25</v>
      </c>
      <c r="I40" s="58">
        <v>1.25</v>
      </c>
      <c r="J40" s="58">
        <v>0.25</v>
      </c>
      <c r="K40" s="66"/>
      <c r="L40" s="58">
        <v>4</v>
      </c>
      <c r="M40" s="58">
        <v>3</v>
      </c>
      <c r="N40" s="68">
        <v>2</v>
      </c>
    </row>
    <row r="41" spans="1:14" x14ac:dyDescent="0.25">
      <c r="A41" s="162" t="s">
        <v>45</v>
      </c>
      <c r="B41" s="163"/>
      <c r="C41" s="59">
        <v>1.25</v>
      </c>
      <c r="D41" s="59">
        <v>1.25</v>
      </c>
      <c r="E41" s="59">
        <v>2.25</v>
      </c>
      <c r="F41" s="59">
        <v>1.25</v>
      </c>
      <c r="G41" s="59">
        <v>2.25</v>
      </c>
      <c r="H41" s="59">
        <v>2.25</v>
      </c>
      <c r="I41" s="59">
        <v>1.25</v>
      </c>
      <c r="J41" s="59">
        <v>0.25</v>
      </c>
      <c r="K41" s="59">
        <v>4</v>
      </c>
      <c r="L41" s="66"/>
      <c r="M41" s="59">
        <v>2</v>
      </c>
      <c r="N41" s="67">
        <v>3</v>
      </c>
    </row>
    <row r="42" spans="1:14" x14ac:dyDescent="0.25">
      <c r="A42" s="160" t="s">
        <v>52</v>
      </c>
      <c r="B42" s="161"/>
      <c r="C42" s="58">
        <v>0.25</v>
      </c>
      <c r="D42" s="58">
        <v>1.25</v>
      </c>
      <c r="E42" s="58">
        <v>0.25</v>
      </c>
      <c r="F42" s="58">
        <v>0.25</v>
      </c>
      <c r="G42" s="58">
        <v>1.25</v>
      </c>
      <c r="H42" s="58">
        <v>2.25</v>
      </c>
      <c r="I42" s="58">
        <v>1.25</v>
      </c>
      <c r="J42" s="58">
        <v>2.25</v>
      </c>
      <c r="K42" s="58">
        <v>3</v>
      </c>
      <c r="L42" s="58">
        <v>2</v>
      </c>
      <c r="M42" s="66"/>
      <c r="N42" s="68">
        <v>3</v>
      </c>
    </row>
    <row r="43" spans="1:14" x14ac:dyDescent="0.25">
      <c r="A43" s="162" t="s">
        <v>48</v>
      </c>
      <c r="B43" s="163"/>
      <c r="C43" s="69">
        <v>1.25</v>
      </c>
      <c r="D43" s="69">
        <v>0.25</v>
      </c>
      <c r="E43" s="69">
        <v>3.25</v>
      </c>
      <c r="F43" s="69">
        <v>1.25</v>
      </c>
      <c r="G43" s="69">
        <v>0.25</v>
      </c>
      <c r="H43" s="69">
        <v>2.25</v>
      </c>
      <c r="I43" s="69">
        <v>0.25</v>
      </c>
      <c r="J43" s="69">
        <v>1.25</v>
      </c>
      <c r="K43" s="69">
        <v>2</v>
      </c>
      <c r="L43" s="69">
        <v>3</v>
      </c>
      <c r="M43" s="69">
        <v>3</v>
      </c>
      <c r="N43" s="31"/>
    </row>
  </sheetData>
  <mergeCells count="14">
    <mergeCell ref="A41:B41"/>
    <mergeCell ref="A42:B42"/>
    <mergeCell ref="A43:B43"/>
    <mergeCell ref="A32:B32"/>
    <mergeCell ref="A33:B33"/>
    <mergeCell ref="A34:B34"/>
    <mergeCell ref="A35:B35"/>
    <mergeCell ref="A36:B36"/>
    <mergeCell ref="A37:B37"/>
    <mergeCell ref="A31:B31"/>
    <mergeCell ref="A3:B3"/>
    <mergeCell ref="A38:B38"/>
    <mergeCell ref="A39:B39"/>
    <mergeCell ref="A40:B4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B3" sqref="B3"/>
    </sheetView>
  </sheetViews>
  <sheetFormatPr defaultColWidth="22.85546875" defaultRowHeight="12" x14ac:dyDescent="0.2"/>
  <cols>
    <col min="1" max="1" width="60.42578125" style="89" customWidth="1"/>
    <col min="2" max="3" width="22.85546875" style="89"/>
    <col min="4" max="4" width="39.85546875" style="89" customWidth="1"/>
    <col min="5" max="16384" width="22.85546875" style="89"/>
  </cols>
  <sheetData>
    <row r="1" spans="1:4" x14ac:dyDescent="0.2">
      <c r="A1" s="89" t="s">
        <v>117</v>
      </c>
    </row>
    <row r="2" spans="1:4" ht="24" x14ac:dyDescent="0.2">
      <c r="A2" s="89" t="s">
        <v>121</v>
      </c>
    </row>
    <row r="3" spans="1:4" ht="48" x14ac:dyDescent="0.2">
      <c r="A3" s="89" t="s">
        <v>120</v>
      </c>
    </row>
    <row r="4" spans="1:4" ht="24" x14ac:dyDescent="0.2">
      <c r="A4" s="89" t="s">
        <v>115</v>
      </c>
    </row>
    <row r="5" spans="1:4" x14ac:dyDescent="0.2">
      <c r="A5" s="89" t="s">
        <v>114</v>
      </c>
    </row>
    <row r="6" spans="1:4" x14ac:dyDescent="0.2">
      <c r="A6" s="89" t="s">
        <v>113</v>
      </c>
    </row>
    <row r="8" spans="1:4" ht="15" x14ac:dyDescent="0.25">
      <c r="A8" s="167" t="s">
        <v>116</v>
      </c>
      <c r="B8" s="168"/>
      <c r="C8" s="168"/>
      <c r="D8" s="169"/>
    </row>
    <row r="9" spans="1:4" ht="223.5" customHeight="1" x14ac:dyDescent="0.2">
      <c r="A9" s="164" t="s">
        <v>118</v>
      </c>
      <c r="B9" s="165"/>
      <c r="C9" s="165"/>
      <c r="D9" s="166"/>
    </row>
  </sheetData>
  <mergeCells count="2">
    <mergeCell ref="A9:D9"/>
    <mergeCell ref="A8:D8"/>
  </mergeCells>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zoomScale="80" zoomScaleNormal="80" workbookViewId="0">
      <selection activeCell="D2" sqref="D2"/>
    </sheetView>
  </sheetViews>
  <sheetFormatPr defaultColWidth="10.42578125" defaultRowHeight="15" x14ac:dyDescent="0.25"/>
  <cols>
    <col min="1" max="1" width="13.28515625" style="4" bestFit="1" customWidth="1"/>
    <col min="2" max="2" width="7.85546875" style="4" bestFit="1" customWidth="1"/>
    <col min="3" max="3" width="7.85546875" style="72" bestFit="1" customWidth="1"/>
    <col min="12" max="16384" width="10.42578125" style="4"/>
  </cols>
  <sheetData>
    <row r="1" spans="1:11" ht="12.75" x14ac:dyDescent="0.2">
      <c r="A1" s="104" t="s">
        <v>1</v>
      </c>
      <c r="B1" s="104" t="s">
        <v>11</v>
      </c>
      <c r="C1" s="104" t="s">
        <v>46</v>
      </c>
      <c r="D1" s="105" t="s">
        <v>130</v>
      </c>
      <c r="E1" s="105" t="s">
        <v>131</v>
      </c>
      <c r="F1" s="4"/>
      <c r="G1" s="4"/>
      <c r="H1" s="4"/>
      <c r="I1" s="4"/>
      <c r="J1" s="4"/>
      <c r="K1" s="4"/>
    </row>
    <row r="2" spans="1:11" ht="12.75" x14ac:dyDescent="0.2">
      <c r="A2" s="87" t="s">
        <v>36</v>
      </c>
      <c r="B2" s="87" t="s">
        <v>13</v>
      </c>
      <c r="C2" s="88">
        <v>6</v>
      </c>
      <c r="D2" s="4"/>
      <c r="E2" s="4"/>
      <c r="F2" s="4"/>
      <c r="G2" s="4"/>
      <c r="H2" s="4"/>
      <c r="I2" s="4"/>
      <c r="J2" s="4"/>
      <c r="K2" s="4"/>
    </row>
    <row r="3" spans="1:11" ht="12.75" x14ac:dyDescent="0.2">
      <c r="A3" s="87" t="s">
        <v>37</v>
      </c>
      <c r="B3" s="87" t="s">
        <v>13</v>
      </c>
      <c r="C3" s="88">
        <v>9</v>
      </c>
      <c r="D3" s="4"/>
      <c r="E3" s="4"/>
      <c r="F3" s="4"/>
      <c r="G3" s="4"/>
      <c r="H3" s="4"/>
      <c r="I3" s="4"/>
      <c r="J3" s="4"/>
      <c r="K3" s="4"/>
    </row>
    <row r="4" spans="1:11" ht="12.75" x14ac:dyDescent="0.2">
      <c r="A4" s="87" t="s">
        <v>47</v>
      </c>
      <c r="B4" s="87" t="s">
        <v>13</v>
      </c>
      <c r="C4" s="88">
        <v>10</v>
      </c>
      <c r="D4" s="4"/>
      <c r="E4" s="4"/>
      <c r="F4" s="4"/>
      <c r="G4" s="4"/>
      <c r="H4" s="4"/>
      <c r="I4" s="4"/>
      <c r="J4" s="4"/>
      <c r="K4" s="4"/>
    </row>
    <row r="5" spans="1:11" ht="12.75" x14ac:dyDescent="0.2">
      <c r="A5" s="87" t="s">
        <v>54</v>
      </c>
      <c r="B5" s="87" t="s">
        <v>13</v>
      </c>
      <c r="C5" s="88">
        <v>15</v>
      </c>
      <c r="D5" s="4"/>
      <c r="E5" s="4"/>
      <c r="F5" s="4"/>
      <c r="G5" s="4"/>
      <c r="H5" s="4"/>
      <c r="I5" s="4"/>
      <c r="J5" s="4"/>
      <c r="K5" s="4"/>
    </row>
    <row r="6" spans="1:11" ht="12.75" x14ac:dyDescent="0.2">
      <c r="A6" s="87" t="s">
        <v>14</v>
      </c>
      <c r="B6" s="87" t="s">
        <v>12</v>
      </c>
      <c r="C6" s="88">
        <v>6</v>
      </c>
      <c r="D6" s="4"/>
      <c r="E6" s="4"/>
      <c r="F6" s="4"/>
      <c r="G6" s="4"/>
      <c r="H6" s="4"/>
      <c r="I6" s="4"/>
      <c r="J6" s="4"/>
      <c r="K6" s="4"/>
    </row>
    <row r="7" spans="1:11" ht="12.75" x14ac:dyDescent="0.2">
      <c r="A7" s="87" t="s">
        <v>50</v>
      </c>
      <c r="B7" s="87" t="s">
        <v>12</v>
      </c>
      <c r="C7" s="88">
        <v>10</v>
      </c>
      <c r="D7" s="4"/>
      <c r="E7" s="4"/>
      <c r="F7" s="4"/>
      <c r="G7" s="4"/>
      <c r="H7" s="4"/>
      <c r="I7" s="4"/>
      <c r="J7" s="4"/>
      <c r="K7" s="4"/>
    </row>
    <row r="8" spans="1:11" ht="12.75" x14ac:dyDescent="0.2">
      <c r="A8" s="87" t="s">
        <v>15</v>
      </c>
      <c r="B8" s="87" t="s">
        <v>12</v>
      </c>
      <c r="C8" s="88">
        <v>15</v>
      </c>
      <c r="D8" s="4"/>
      <c r="E8" s="4"/>
      <c r="F8" s="4"/>
      <c r="G8" s="4"/>
      <c r="H8" s="4"/>
      <c r="I8" s="4"/>
      <c r="J8" s="4"/>
      <c r="K8" s="4"/>
    </row>
    <row r="9" spans="1:11" ht="12.75" x14ac:dyDescent="0.2">
      <c r="A9" s="87" t="s">
        <v>51</v>
      </c>
      <c r="B9" s="87" t="s">
        <v>12</v>
      </c>
      <c r="C9" s="88">
        <v>14</v>
      </c>
      <c r="D9" s="4"/>
      <c r="E9" s="4"/>
      <c r="F9" s="4"/>
      <c r="G9" s="4"/>
      <c r="H9" s="4"/>
      <c r="I9" s="4"/>
      <c r="J9" s="4"/>
      <c r="K9" s="4"/>
    </row>
    <row r="10" spans="1:11" ht="12.75" x14ac:dyDescent="0.2">
      <c r="A10" s="87" t="s">
        <v>49</v>
      </c>
      <c r="B10" s="87" t="s">
        <v>53</v>
      </c>
      <c r="C10" s="88">
        <v>3</v>
      </c>
      <c r="D10" s="4"/>
      <c r="E10" s="4"/>
      <c r="F10" s="4"/>
      <c r="G10" s="4"/>
      <c r="H10" s="4"/>
      <c r="I10" s="4"/>
      <c r="J10" s="4"/>
      <c r="K10" s="4"/>
    </row>
    <row r="11" spans="1:11" ht="12.75" x14ac:dyDescent="0.2">
      <c r="A11" s="87" t="s">
        <v>45</v>
      </c>
      <c r="B11" s="87" t="s">
        <v>53</v>
      </c>
      <c r="C11" s="88">
        <v>6</v>
      </c>
      <c r="D11" s="4"/>
      <c r="E11" s="4"/>
      <c r="F11" s="4"/>
      <c r="G11" s="4"/>
      <c r="H11" s="4"/>
      <c r="I11" s="4"/>
      <c r="J11" s="4"/>
      <c r="K11" s="4"/>
    </row>
    <row r="12" spans="1:11" ht="12.75" x14ac:dyDescent="0.2">
      <c r="A12" s="87" t="s">
        <v>52</v>
      </c>
      <c r="B12" s="87" t="s">
        <v>53</v>
      </c>
      <c r="C12" s="88">
        <v>16</v>
      </c>
      <c r="D12" s="4"/>
      <c r="E12" s="4"/>
      <c r="F12" s="4"/>
      <c r="G12" s="4"/>
      <c r="H12" s="4"/>
      <c r="I12" s="4"/>
      <c r="J12" s="4"/>
      <c r="K12" s="4"/>
    </row>
    <row r="13" spans="1:11" ht="12.75" x14ac:dyDescent="0.2">
      <c r="A13" s="87" t="s">
        <v>48</v>
      </c>
      <c r="B13" s="87" t="s">
        <v>53</v>
      </c>
      <c r="C13" s="88">
        <v>16</v>
      </c>
      <c r="D13" s="4"/>
      <c r="E13" s="4"/>
      <c r="F13" s="4"/>
      <c r="G13" s="4"/>
      <c r="H13" s="4"/>
      <c r="I13" s="4"/>
      <c r="J13" s="4"/>
      <c r="K13" s="4"/>
    </row>
  </sheetData>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zoomScale="70" zoomScaleNormal="70" workbookViewId="0">
      <selection activeCell="E6" sqref="E6"/>
    </sheetView>
  </sheetViews>
  <sheetFormatPr defaultRowHeight="15" x14ac:dyDescent="0.25"/>
  <cols>
    <col min="1" max="1" width="13.42578125" bestFit="1" customWidth="1"/>
    <col min="2" max="2" width="16.42578125" bestFit="1" customWidth="1"/>
    <col min="3" max="3" width="9.5703125" bestFit="1" customWidth="1"/>
    <col min="4" max="4" width="10.7109375" bestFit="1" customWidth="1"/>
    <col min="5" max="5" width="13.140625" bestFit="1" customWidth="1"/>
    <col min="6" max="6" width="12.5703125" bestFit="1" customWidth="1"/>
    <col min="7" max="7" width="10.140625" bestFit="1" customWidth="1"/>
    <col min="8" max="8" width="14" bestFit="1" customWidth="1"/>
    <col min="9" max="10" width="12.140625" bestFit="1" customWidth="1"/>
    <col min="11" max="11" width="10.140625" bestFit="1" customWidth="1"/>
    <col min="12" max="12" width="9.140625" bestFit="1" customWidth="1"/>
    <col min="13" max="13" width="14.5703125" bestFit="1" customWidth="1"/>
    <col min="14" max="14" width="10.7109375" bestFit="1" customWidth="1"/>
  </cols>
  <sheetData>
    <row r="1" spans="1:14" x14ac:dyDescent="0.25">
      <c r="A1" s="109" t="s">
        <v>127</v>
      </c>
      <c r="B1" s="125" t="s">
        <v>136</v>
      </c>
    </row>
    <row r="3" spans="1:14" x14ac:dyDescent="0.25">
      <c r="A3" s="109" t="s">
        <v>135</v>
      </c>
      <c r="B3" s="109" t="s">
        <v>137</v>
      </c>
    </row>
    <row r="4" spans="1:14" x14ac:dyDescent="0.25">
      <c r="A4" s="109" t="s">
        <v>133</v>
      </c>
      <c r="B4" s="125" t="s">
        <v>15</v>
      </c>
      <c r="C4" s="125" t="s">
        <v>47</v>
      </c>
      <c r="D4" s="125" t="s">
        <v>52</v>
      </c>
      <c r="E4" s="125" t="s">
        <v>36</v>
      </c>
      <c r="F4" s="125" t="s">
        <v>14</v>
      </c>
      <c r="G4" s="125" t="s">
        <v>54</v>
      </c>
      <c r="H4" s="125" t="s">
        <v>37</v>
      </c>
      <c r="I4" s="125" t="s">
        <v>50</v>
      </c>
      <c r="J4" s="125" t="s">
        <v>45</v>
      </c>
      <c r="K4" s="125" t="s">
        <v>48</v>
      </c>
      <c r="L4" s="125" t="s">
        <v>49</v>
      </c>
      <c r="M4" s="125" t="s">
        <v>51</v>
      </c>
      <c r="N4" s="125" t="s">
        <v>134</v>
      </c>
    </row>
    <row r="5" spans="1:14" x14ac:dyDescent="0.25">
      <c r="A5" s="110" t="s">
        <v>13</v>
      </c>
      <c r="B5" s="111"/>
      <c r="C5" s="111">
        <v>4</v>
      </c>
      <c r="D5" s="111"/>
      <c r="E5" s="111">
        <v>1</v>
      </c>
      <c r="F5" s="111"/>
      <c r="G5" s="111">
        <v>3</v>
      </c>
      <c r="H5" s="111">
        <v>1</v>
      </c>
      <c r="I5" s="111"/>
      <c r="J5" s="111"/>
      <c r="K5" s="111"/>
      <c r="L5" s="111"/>
      <c r="M5" s="111"/>
      <c r="N5" s="111">
        <v>9</v>
      </c>
    </row>
    <row r="6" spans="1:14" x14ac:dyDescent="0.25">
      <c r="A6" s="110" t="s">
        <v>12</v>
      </c>
      <c r="B6" s="111">
        <v>0</v>
      </c>
      <c r="C6" s="111"/>
      <c r="D6" s="111"/>
      <c r="E6" s="111"/>
      <c r="F6" s="111">
        <v>1</v>
      </c>
      <c r="G6" s="111"/>
      <c r="H6" s="111"/>
      <c r="I6" s="111">
        <v>6.5</v>
      </c>
      <c r="J6" s="111"/>
      <c r="K6" s="111"/>
      <c r="L6" s="111"/>
      <c r="M6" s="111">
        <v>6.5</v>
      </c>
      <c r="N6" s="111">
        <v>14</v>
      </c>
    </row>
    <row r="7" spans="1:14" x14ac:dyDescent="0.25">
      <c r="A7" s="110" t="s">
        <v>53</v>
      </c>
      <c r="B7" s="111"/>
      <c r="C7" s="111"/>
      <c r="D7" s="111">
        <v>2.5</v>
      </c>
      <c r="E7" s="111"/>
      <c r="F7" s="111"/>
      <c r="G7" s="111"/>
      <c r="H7" s="111"/>
      <c r="I7" s="111"/>
      <c r="J7" s="111">
        <v>7</v>
      </c>
      <c r="K7" s="111">
        <v>4</v>
      </c>
      <c r="L7" s="111">
        <v>3.5</v>
      </c>
      <c r="M7" s="111"/>
      <c r="N7" s="111">
        <v>17</v>
      </c>
    </row>
    <row r="8" spans="1:14" x14ac:dyDescent="0.25">
      <c r="A8" s="110" t="s">
        <v>134</v>
      </c>
      <c r="B8" s="111">
        <v>0</v>
      </c>
      <c r="C8" s="111">
        <v>4</v>
      </c>
      <c r="D8" s="111">
        <v>2.5</v>
      </c>
      <c r="E8" s="111">
        <v>1</v>
      </c>
      <c r="F8" s="111">
        <v>1</v>
      </c>
      <c r="G8" s="111">
        <v>3</v>
      </c>
      <c r="H8" s="111">
        <v>1</v>
      </c>
      <c r="I8" s="111">
        <v>6.5</v>
      </c>
      <c r="J8" s="111">
        <v>7</v>
      </c>
      <c r="K8" s="111">
        <v>4</v>
      </c>
      <c r="L8" s="111">
        <v>3.5</v>
      </c>
      <c r="M8" s="111">
        <v>6.5</v>
      </c>
      <c r="N8" s="111">
        <v>40</v>
      </c>
    </row>
  </sheetData>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zoomScale="90" zoomScaleNormal="90" workbookViewId="0">
      <selection activeCell="B6" sqref="B6"/>
    </sheetView>
  </sheetViews>
  <sheetFormatPr defaultRowHeight="15" x14ac:dyDescent="0.25"/>
  <cols>
    <col min="1" max="1" width="14.140625" bestFit="1" customWidth="1"/>
    <col min="2" max="2" width="17.140625" bestFit="1" customWidth="1"/>
    <col min="3" max="3" width="9.28515625" bestFit="1" customWidth="1"/>
    <col min="4" max="4" width="6.140625" bestFit="1" customWidth="1"/>
    <col min="5" max="5" width="9.140625" bestFit="1" customWidth="1"/>
    <col min="6" max="6" width="7.42578125" bestFit="1" customWidth="1"/>
    <col min="7" max="7" width="14.85546875" customWidth="1"/>
    <col min="8" max="8" width="18.42578125" customWidth="1"/>
    <col min="9" max="10" width="17.85546875" customWidth="1"/>
    <col min="11" max="11" width="15" bestFit="1" customWidth="1"/>
    <col min="12" max="13" width="18.42578125" bestFit="1" customWidth="1"/>
  </cols>
  <sheetData>
    <row r="1" spans="1:5" x14ac:dyDescent="0.25">
      <c r="A1" s="109" t="s">
        <v>127</v>
      </c>
      <c r="B1" s="125" t="s">
        <v>136</v>
      </c>
    </row>
    <row r="2" spans="1:5" x14ac:dyDescent="0.25">
      <c r="A2" s="109" t="s">
        <v>11</v>
      </c>
      <c r="B2" s="125" t="s">
        <v>13</v>
      </c>
    </row>
    <row r="4" spans="1:5" x14ac:dyDescent="0.25">
      <c r="A4" s="109" t="s">
        <v>133</v>
      </c>
      <c r="B4" s="125" t="s">
        <v>141</v>
      </c>
      <c r="C4" s="125" t="s">
        <v>139</v>
      </c>
      <c r="D4" s="125" t="s">
        <v>140</v>
      </c>
      <c r="E4" s="125" t="s">
        <v>138</v>
      </c>
    </row>
    <row r="5" spans="1:5" x14ac:dyDescent="0.25">
      <c r="A5" s="110" t="s">
        <v>47</v>
      </c>
      <c r="B5" s="121">
        <v>89.333333333333329</v>
      </c>
      <c r="C5" s="111">
        <v>104</v>
      </c>
      <c r="D5" s="121">
        <v>79.333333333333329</v>
      </c>
      <c r="E5" s="111">
        <v>44</v>
      </c>
    </row>
    <row r="6" spans="1:5" x14ac:dyDescent="0.25">
      <c r="A6" s="110" t="s">
        <v>36</v>
      </c>
      <c r="B6" s="121">
        <v>91.166666666666671</v>
      </c>
      <c r="C6" s="111">
        <v>115</v>
      </c>
      <c r="D6" s="121">
        <v>85.166666666666671</v>
      </c>
      <c r="E6" s="111">
        <v>79</v>
      </c>
    </row>
    <row r="7" spans="1:5" x14ac:dyDescent="0.25">
      <c r="A7" s="110" t="s">
        <v>54</v>
      </c>
      <c r="B7" s="121">
        <v>101.16666666666667</v>
      </c>
      <c r="C7" s="111">
        <v>175</v>
      </c>
      <c r="D7" s="121">
        <v>86.166666666666671</v>
      </c>
      <c r="E7" s="111">
        <v>85</v>
      </c>
    </row>
    <row r="8" spans="1:5" x14ac:dyDescent="0.25">
      <c r="A8" s="110" t="s">
        <v>37</v>
      </c>
      <c r="B8" s="121">
        <v>92.666666666666671</v>
      </c>
      <c r="C8" s="111">
        <v>124</v>
      </c>
      <c r="D8" s="121">
        <v>83.666666666666671</v>
      </c>
      <c r="E8" s="111">
        <v>70</v>
      </c>
    </row>
    <row r="9" spans="1:5" x14ac:dyDescent="0.25">
      <c r="A9" s="110" t="s">
        <v>134</v>
      </c>
      <c r="B9" s="121">
        <v>93.583333333333329</v>
      </c>
      <c r="C9" s="111">
        <v>518</v>
      </c>
      <c r="D9" s="121">
        <v>83.583333333333329</v>
      </c>
      <c r="E9" s="111">
        <v>278</v>
      </c>
    </row>
  </sheetData>
  <pageMargins left="0.7" right="0.7" top="0.75" bottom="0.75" header="0.3" footer="0.3"/>
  <pageSetup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zoomScale="90" zoomScaleNormal="90" workbookViewId="0">
      <selection activeCell="I4" sqref="I4"/>
    </sheetView>
  </sheetViews>
  <sheetFormatPr defaultRowHeight="15" x14ac:dyDescent="0.25"/>
  <cols>
    <col min="1" max="1" width="14.7109375" bestFit="1" customWidth="1"/>
    <col min="2" max="2" width="17.140625" bestFit="1" customWidth="1"/>
    <col min="3" max="3" width="9.28515625" bestFit="1" customWidth="1"/>
    <col min="4" max="4" width="6.140625" bestFit="1" customWidth="1"/>
    <col min="5" max="5" width="9.140625" bestFit="1" customWidth="1"/>
    <col min="6" max="6" width="7.42578125" bestFit="1" customWidth="1"/>
    <col min="7" max="7" width="14.85546875" customWidth="1"/>
    <col min="8" max="8" width="18.42578125" customWidth="1"/>
    <col min="9" max="10" width="17.85546875" customWidth="1"/>
    <col min="11" max="11" width="15" bestFit="1" customWidth="1"/>
    <col min="12" max="13" width="18.42578125" bestFit="1" customWidth="1"/>
  </cols>
  <sheetData>
    <row r="1" spans="1:5" x14ac:dyDescent="0.25">
      <c r="A1" s="109" t="s">
        <v>127</v>
      </c>
      <c r="B1" s="125" t="s">
        <v>136</v>
      </c>
    </row>
    <row r="2" spans="1:5" x14ac:dyDescent="0.25">
      <c r="A2" s="109" t="s">
        <v>11</v>
      </c>
      <c r="B2" s="125" t="s">
        <v>12</v>
      </c>
    </row>
    <row r="4" spans="1:5" x14ac:dyDescent="0.25">
      <c r="A4" s="109" t="s">
        <v>133</v>
      </c>
      <c r="B4" s="125" t="s">
        <v>141</v>
      </c>
      <c r="C4" s="125" t="s">
        <v>139</v>
      </c>
      <c r="D4" s="125" t="s">
        <v>140</v>
      </c>
      <c r="E4" s="125" t="s">
        <v>138</v>
      </c>
    </row>
    <row r="5" spans="1:5" x14ac:dyDescent="0.25">
      <c r="A5" s="110" t="s">
        <v>15</v>
      </c>
      <c r="B5" s="121">
        <v>121.33333333333333</v>
      </c>
      <c r="C5" s="111">
        <v>296</v>
      </c>
      <c r="D5" s="121">
        <v>106.33333333333333</v>
      </c>
      <c r="E5" s="111">
        <v>206</v>
      </c>
    </row>
    <row r="6" spans="1:5" x14ac:dyDescent="0.25">
      <c r="A6" s="110" t="s">
        <v>14</v>
      </c>
      <c r="B6" s="121">
        <v>91.166666666666671</v>
      </c>
      <c r="C6" s="111">
        <v>115</v>
      </c>
      <c r="D6" s="121">
        <v>85.166666666666671</v>
      </c>
      <c r="E6" s="111">
        <v>79</v>
      </c>
    </row>
    <row r="7" spans="1:5" x14ac:dyDescent="0.25">
      <c r="A7" s="110" t="s">
        <v>50</v>
      </c>
      <c r="B7" s="121">
        <v>92.666666666666671</v>
      </c>
      <c r="C7" s="111">
        <v>124</v>
      </c>
      <c r="D7" s="121">
        <v>82.666666666666671</v>
      </c>
      <c r="E7" s="111">
        <v>64</v>
      </c>
    </row>
    <row r="8" spans="1:5" x14ac:dyDescent="0.25">
      <c r="A8" s="110" t="s">
        <v>51</v>
      </c>
      <c r="B8" s="121">
        <v>99.666666666666671</v>
      </c>
      <c r="C8" s="111">
        <v>166</v>
      </c>
      <c r="D8" s="121">
        <v>85.666666666666671</v>
      </c>
      <c r="E8" s="111">
        <v>82</v>
      </c>
    </row>
    <row r="9" spans="1:5" x14ac:dyDescent="0.25">
      <c r="A9" s="110" t="s">
        <v>134</v>
      </c>
      <c r="B9" s="121">
        <v>101.20833333333333</v>
      </c>
      <c r="C9" s="111">
        <v>701</v>
      </c>
      <c r="D9" s="121">
        <v>89.958333333333329</v>
      </c>
      <c r="E9" s="111">
        <v>431</v>
      </c>
    </row>
  </sheetData>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Dashboard</vt:lpstr>
      <vt:lpstr>Score Cards</vt:lpstr>
      <vt:lpstr>Game Details</vt:lpstr>
      <vt:lpstr>Pairings</vt:lpstr>
      <vt:lpstr>Rules &amp; Prize Pool</vt:lpstr>
      <vt:lpstr>Player Info</vt:lpstr>
      <vt:lpstr>Pvt_CupPts</vt:lpstr>
      <vt:lpstr>Pvt_DTeam</vt:lpstr>
      <vt:lpstr>Pvt_ETeam</vt:lpstr>
      <vt:lpstr>Pvt_MTeam</vt:lpstr>
      <vt:lpstr>ScoringData</vt:lpstr>
    </vt:vector>
  </TitlesOfParts>
  <Company>Morgan Stanley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Newsome, Eric</dc:creator>
  <cp:lastModifiedBy>Danny Birdsall</cp:lastModifiedBy>
  <cp:lastPrinted>2015-04-15T14:52:26Z</cp:lastPrinted>
  <dcterms:created xsi:type="dcterms:W3CDTF">2012-07-30T14:40:50Z</dcterms:created>
  <dcterms:modified xsi:type="dcterms:W3CDTF">2022-01-04T19:11:58Z</dcterms:modified>
</cp:coreProperties>
</file>